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Общая\3.Экономисты\5 Лена\2021год\Тарифы на 2022\ОКС\вода Баяндай\"/>
    </mc:Choice>
  </mc:AlternateContent>
  <bookViews>
    <workbookView xWindow="480" yWindow="180" windowWidth="18195" windowHeight="1099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O35" i="1" l="1"/>
  <c r="O34" i="1" s="1"/>
  <c r="O125" i="1" l="1"/>
  <c r="O107" i="1"/>
  <c r="O58" i="1" l="1"/>
  <c r="O37" i="1" l="1"/>
  <c r="O81" i="1" l="1"/>
  <c r="O52" i="1"/>
  <c r="O51" i="1" s="1"/>
  <c r="O50" i="1"/>
  <c r="O48" i="1"/>
  <c r="O63" i="1" l="1"/>
  <c r="O59" i="1"/>
  <c r="O62" i="1" s="1"/>
  <c r="I9" i="1"/>
  <c r="I10" i="1"/>
  <c r="I12" i="1"/>
  <c r="I16" i="1"/>
  <c r="I17" i="1"/>
  <c r="I18" i="1"/>
  <c r="I14" i="1" l="1"/>
  <c r="I11" i="1"/>
  <c r="I8" i="1" s="1"/>
  <c r="Q52" i="1"/>
  <c r="R52" i="1" s="1"/>
  <c r="S52" i="1" s="1"/>
  <c r="O44" i="1"/>
  <c r="I134" i="1" l="1"/>
  <c r="I13" i="1"/>
  <c r="R80" i="1"/>
  <c r="S80" i="1" s="1"/>
  <c r="Q48" i="1"/>
  <c r="R48" i="1" s="1"/>
  <c r="S48" i="1" s="1"/>
  <c r="O60" i="1" l="1"/>
  <c r="O80" i="1" l="1"/>
  <c r="O79" i="1" s="1"/>
  <c r="J44" i="1"/>
  <c r="M44" i="1"/>
  <c r="M51" i="1"/>
  <c r="J106" i="1"/>
  <c r="J86" i="1" s="1"/>
  <c r="N106" i="1"/>
  <c r="N86" i="1" s="1"/>
  <c r="J24" i="1" l="1"/>
  <c r="J130" i="1"/>
  <c r="J85" i="1"/>
  <c r="O78" i="1"/>
  <c r="O39" i="1" l="1"/>
  <c r="Q39" i="1" s="1"/>
  <c r="R39" i="1" s="1"/>
  <c r="S39" i="1" s="1"/>
  <c r="O18" i="1"/>
  <c r="O38" i="1" l="1"/>
  <c r="O41" i="1" l="1"/>
  <c r="O33" i="1"/>
  <c r="O30" i="1" s="1"/>
  <c r="O25" i="1" s="1"/>
  <c r="Q38" i="1"/>
  <c r="R38" i="1" s="1"/>
  <c r="S38" i="1" s="1"/>
  <c r="Q125" i="1"/>
  <c r="R125" i="1" s="1"/>
  <c r="S125" i="1" s="1"/>
  <c r="Q51" i="1"/>
  <c r="Q124" i="1"/>
  <c r="R124" i="1" s="1"/>
  <c r="S124" i="1" s="1"/>
  <c r="Q123" i="1"/>
  <c r="R123" i="1" s="1"/>
  <c r="S123" i="1" s="1"/>
  <c r="Q122" i="1"/>
  <c r="R122" i="1" s="1"/>
  <c r="S122" i="1" s="1"/>
  <c r="Q121" i="1"/>
  <c r="R121" i="1" s="1"/>
  <c r="S121" i="1" s="1"/>
  <c r="Q120" i="1"/>
  <c r="R120" i="1" s="1"/>
  <c r="S120" i="1" s="1"/>
  <c r="Q119" i="1"/>
  <c r="R119" i="1" s="1"/>
  <c r="S119" i="1" s="1"/>
  <c r="Q118" i="1"/>
  <c r="R118" i="1" s="1"/>
  <c r="S118" i="1" s="1"/>
  <c r="Q117" i="1"/>
  <c r="R117" i="1" s="1"/>
  <c r="S117" i="1" s="1"/>
  <c r="Q116" i="1"/>
  <c r="R116" i="1" s="1"/>
  <c r="S116" i="1" s="1"/>
  <c r="Q115" i="1"/>
  <c r="R115" i="1" s="1"/>
  <c r="S115" i="1" s="1"/>
  <c r="R86" i="1"/>
  <c r="S86" i="1"/>
  <c r="Q114" i="1"/>
  <c r="R114" i="1" s="1"/>
  <c r="S114" i="1" s="1"/>
  <c r="Q113" i="1"/>
  <c r="Q112" i="1"/>
  <c r="Q111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 s="1"/>
  <c r="Q63" i="1"/>
  <c r="R63" i="1" s="1"/>
  <c r="R51" i="1"/>
  <c r="Q50" i="1"/>
  <c r="Q44" i="1" s="1"/>
  <c r="R50" i="1" l="1"/>
  <c r="S50" i="1" s="1"/>
  <c r="Q41" i="1"/>
  <c r="R41" i="1" s="1"/>
  <c r="S41" i="1" s="1"/>
  <c r="Q30" i="1"/>
  <c r="R30" i="1" s="1"/>
  <c r="S30" i="1" s="1"/>
  <c r="S51" i="1"/>
  <c r="S63" i="1"/>
  <c r="Q40" i="1"/>
  <c r="R40" i="1" s="1"/>
  <c r="S40" i="1" s="1"/>
  <c r="L117" i="1"/>
  <c r="M117" i="1" s="1"/>
  <c r="R44" i="1" l="1"/>
  <c r="M79" i="1"/>
  <c r="Q81" i="1"/>
  <c r="S44" i="1"/>
  <c r="J34" i="1"/>
  <c r="J33" i="1" s="1"/>
  <c r="J133" i="1"/>
  <c r="B131" i="1"/>
  <c r="B130" i="1"/>
  <c r="L129" i="1"/>
  <c r="K129" i="1"/>
  <c r="L128" i="1"/>
  <c r="M128" i="1" s="1"/>
  <c r="K128" i="1"/>
  <c r="L127" i="1"/>
  <c r="M127" i="1" s="1"/>
  <c r="K127" i="1"/>
  <c r="L126" i="1"/>
  <c r="M126" i="1" s="1"/>
  <c r="K126" i="1"/>
  <c r="L125" i="1"/>
  <c r="F125" i="1"/>
  <c r="E125" i="1"/>
  <c r="D125" i="1"/>
  <c r="L124" i="1"/>
  <c r="M124" i="1" s="1"/>
  <c r="L123" i="1"/>
  <c r="M123" i="1" s="1"/>
  <c r="K123" i="1"/>
  <c r="L122" i="1"/>
  <c r="M122" i="1" s="1"/>
  <c r="K122" i="1"/>
  <c r="L121" i="1"/>
  <c r="M121" i="1" s="1"/>
  <c r="K121" i="1"/>
  <c r="L120" i="1"/>
  <c r="M120" i="1" s="1"/>
  <c r="L119" i="1"/>
  <c r="M119" i="1" s="1"/>
  <c r="L118" i="1"/>
  <c r="M118" i="1" s="1"/>
  <c r="L116" i="1"/>
  <c r="M116" i="1" s="1"/>
  <c r="L115" i="1"/>
  <c r="M115" i="1" s="1"/>
  <c r="K115" i="1"/>
  <c r="L114" i="1"/>
  <c r="M114" i="1" s="1"/>
  <c r="G114" i="1"/>
  <c r="F114" i="1"/>
  <c r="E114" i="1"/>
  <c r="E106" i="1" s="1"/>
  <c r="E86" i="1" s="1"/>
  <c r="D114" i="1"/>
  <c r="D106" i="1" s="1"/>
  <c r="D86" i="1" s="1"/>
  <c r="L113" i="1"/>
  <c r="M113" i="1" s="1"/>
  <c r="L112" i="1"/>
  <c r="M112" i="1" s="1"/>
  <c r="L111" i="1"/>
  <c r="M111" i="1" s="1"/>
  <c r="L110" i="1"/>
  <c r="K110" i="1"/>
  <c r="L108" i="1"/>
  <c r="K108" i="1"/>
  <c r="M107" i="1"/>
  <c r="K105" i="1"/>
  <c r="L104" i="1"/>
  <c r="M104" i="1" s="1"/>
  <c r="K104" i="1"/>
  <c r="L103" i="1"/>
  <c r="M103" i="1" s="1"/>
  <c r="K103" i="1"/>
  <c r="L102" i="1"/>
  <c r="M102" i="1" s="1"/>
  <c r="L101" i="1"/>
  <c r="M101" i="1" s="1"/>
  <c r="K101" i="1"/>
  <c r="L100" i="1"/>
  <c r="M100" i="1" s="1"/>
  <c r="K100" i="1"/>
  <c r="K99" i="1"/>
  <c r="L98" i="1"/>
  <c r="M98" i="1" s="1"/>
  <c r="K98" i="1"/>
  <c r="L97" i="1"/>
  <c r="M97" i="1" s="1"/>
  <c r="K97" i="1"/>
  <c r="L96" i="1"/>
  <c r="M96" i="1" s="1"/>
  <c r="L95" i="1"/>
  <c r="M95" i="1" s="1"/>
  <c r="K95" i="1"/>
  <c r="L94" i="1"/>
  <c r="M94" i="1" s="1"/>
  <c r="K94" i="1"/>
  <c r="K93" i="1"/>
  <c r="L92" i="1"/>
  <c r="M92" i="1" s="1"/>
  <c r="K92" i="1"/>
  <c r="L91" i="1"/>
  <c r="M91" i="1" s="1"/>
  <c r="K91" i="1"/>
  <c r="L90" i="1"/>
  <c r="M90" i="1" s="1"/>
  <c r="L89" i="1"/>
  <c r="M89" i="1" s="1"/>
  <c r="K89" i="1"/>
  <c r="L88" i="1"/>
  <c r="M88" i="1" s="1"/>
  <c r="K88" i="1"/>
  <c r="L87" i="1"/>
  <c r="L84" i="1"/>
  <c r="M84" i="1" s="1"/>
  <c r="K84" i="1"/>
  <c r="L83" i="1"/>
  <c r="M83" i="1" s="1"/>
  <c r="K83" i="1"/>
  <c r="L82" i="1"/>
  <c r="M82" i="1" s="1"/>
  <c r="K82" i="1"/>
  <c r="G81" i="1"/>
  <c r="F79" i="1"/>
  <c r="F78" i="1" s="1"/>
  <c r="E78" i="1"/>
  <c r="D78" i="1"/>
  <c r="L77" i="1"/>
  <c r="K77" i="1"/>
  <c r="L76" i="1"/>
  <c r="M76" i="1" s="1"/>
  <c r="K76" i="1"/>
  <c r="L75" i="1"/>
  <c r="M75" i="1" s="1"/>
  <c r="K75" i="1"/>
  <c r="L74" i="1"/>
  <c r="M74" i="1" s="1"/>
  <c r="K74" i="1"/>
  <c r="L73" i="1"/>
  <c r="M73" i="1" s="1"/>
  <c r="K73" i="1"/>
  <c r="L72" i="1"/>
  <c r="M72" i="1" s="1"/>
  <c r="K72" i="1"/>
  <c r="L71" i="1"/>
  <c r="M71" i="1" s="1"/>
  <c r="K71" i="1"/>
  <c r="L70" i="1"/>
  <c r="M70" i="1" s="1"/>
  <c r="K70" i="1"/>
  <c r="L69" i="1"/>
  <c r="M69" i="1" s="1"/>
  <c r="K69" i="1"/>
  <c r="L68" i="1"/>
  <c r="M68" i="1" s="1"/>
  <c r="K68" i="1"/>
  <c r="L67" i="1"/>
  <c r="M67" i="1" s="1"/>
  <c r="K67" i="1"/>
  <c r="L66" i="1"/>
  <c r="M66" i="1" s="1"/>
  <c r="K66" i="1"/>
  <c r="L65" i="1"/>
  <c r="M65" i="1" s="1"/>
  <c r="K65" i="1"/>
  <c r="L64" i="1"/>
  <c r="M64" i="1" s="1"/>
  <c r="K64" i="1"/>
  <c r="G63" i="1"/>
  <c r="L61" i="1"/>
  <c r="K61" i="1"/>
  <c r="M60" i="1"/>
  <c r="G60" i="1"/>
  <c r="G59" i="1" s="1"/>
  <c r="F59" i="1"/>
  <c r="E58" i="1"/>
  <c r="D58" i="1"/>
  <c r="L57" i="1"/>
  <c r="M57" i="1" s="1"/>
  <c r="K57" i="1"/>
  <c r="L56" i="1"/>
  <c r="M56" i="1" s="1"/>
  <c r="K56" i="1"/>
  <c r="L55" i="1"/>
  <c r="M55" i="1" s="1"/>
  <c r="K55" i="1"/>
  <c r="L54" i="1"/>
  <c r="M54" i="1" s="1"/>
  <c r="K54" i="1"/>
  <c r="L53" i="1"/>
  <c r="G53" i="1"/>
  <c r="G52" i="1"/>
  <c r="F51" i="1"/>
  <c r="E51" i="1"/>
  <c r="D51" i="1"/>
  <c r="G50" i="1"/>
  <c r="E50" i="1"/>
  <c r="L49" i="1"/>
  <c r="M49" i="1" s="1"/>
  <c r="G48" i="1"/>
  <c r="E48" i="1"/>
  <c r="L47" i="1"/>
  <c r="M47" i="1" s="1"/>
  <c r="K47" i="1"/>
  <c r="L46" i="1"/>
  <c r="M46" i="1" s="1"/>
  <c r="K46" i="1"/>
  <c r="L45" i="1"/>
  <c r="M45" i="1" s="1"/>
  <c r="K45" i="1"/>
  <c r="F44" i="1"/>
  <c r="D44" i="1"/>
  <c r="L43" i="1"/>
  <c r="M43" i="1" s="1"/>
  <c r="L42" i="1"/>
  <c r="M42" i="1" s="1"/>
  <c r="L40" i="1"/>
  <c r="K40" i="1"/>
  <c r="L39" i="1"/>
  <c r="G39" i="1"/>
  <c r="F39" i="1"/>
  <c r="G38" i="1"/>
  <c r="G41" i="1" s="1"/>
  <c r="L36" i="1"/>
  <c r="K36" i="1"/>
  <c r="G35" i="1"/>
  <c r="G34" i="1" s="1"/>
  <c r="F34" i="1"/>
  <c r="F37" i="1" s="1"/>
  <c r="E33" i="1"/>
  <c r="D33" i="1"/>
  <c r="L32" i="1"/>
  <c r="M32" i="1" s="1"/>
  <c r="L31" i="1"/>
  <c r="M31" i="1" s="1"/>
  <c r="M21" i="1"/>
  <c r="Q21" i="1" s="1"/>
  <c r="R21" i="1" s="1"/>
  <c r="S21" i="1" s="1"/>
  <c r="L21" i="1"/>
  <c r="K21" i="1"/>
  <c r="G21" i="1"/>
  <c r="M20" i="1"/>
  <c r="Q20" i="1" s="1"/>
  <c r="R20" i="1" s="1"/>
  <c r="S20" i="1" s="1"/>
  <c r="L20" i="1"/>
  <c r="K20" i="1"/>
  <c r="G20" i="1"/>
  <c r="M19" i="1"/>
  <c r="Q19" i="1" s="1"/>
  <c r="R19" i="1" s="1"/>
  <c r="S19" i="1" s="1"/>
  <c r="L19" i="1"/>
  <c r="K19" i="1"/>
  <c r="G19" i="1"/>
  <c r="G18" i="1" s="1"/>
  <c r="G14" i="1" s="1"/>
  <c r="G11" i="1" s="1"/>
  <c r="L18" i="1"/>
  <c r="F18" i="1"/>
  <c r="E18" i="1"/>
  <c r="E14" i="1" s="1"/>
  <c r="E11" i="1" s="1"/>
  <c r="E13" i="1" s="1"/>
  <c r="D18" i="1"/>
  <c r="D14" i="1" s="1"/>
  <c r="D11" i="1" s="1"/>
  <c r="L17" i="1"/>
  <c r="M16" i="1"/>
  <c r="M15" i="1"/>
  <c r="L15" i="1"/>
  <c r="K15" i="1"/>
  <c r="L12" i="1"/>
  <c r="M10" i="1"/>
  <c r="M9" i="1"/>
  <c r="Q60" i="1" l="1"/>
  <c r="M59" i="1"/>
  <c r="M62" i="1" s="1"/>
  <c r="M58" i="1" s="1"/>
  <c r="Q79" i="1"/>
  <c r="Q78" i="1" s="1"/>
  <c r="R81" i="1"/>
  <c r="M87" i="1"/>
  <c r="M106" i="1"/>
  <c r="E44" i="1"/>
  <c r="E30" i="1" s="1"/>
  <c r="E25" i="1" s="1"/>
  <c r="E24" i="1" s="1"/>
  <c r="E130" i="1" s="1"/>
  <c r="L93" i="1"/>
  <c r="M93" i="1" s="1"/>
  <c r="D85" i="1"/>
  <c r="D8" i="1"/>
  <c r="M18" i="1"/>
  <c r="Q18" i="1" s="1"/>
  <c r="R18" i="1" s="1"/>
  <c r="S18" i="1" s="1"/>
  <c r="L99" i="1"/>
  <c r="M99" i="1" s="1"/>
  <c r="K90" i="1"/>
  <c r="K102" i="1"/>
  <c r="K16" i="1"/>
  <c r="K18" i="1"/>
  <c r="L10" i="1"/>
  <c r="D30" i="1"/>
  <c r="D25" i="1" s="1"/>
  <c r="D24" i="1" s="1"/>
  <c r="D130" i="1" s="1"/>
  <c r="D131" i="1" s="1"/>
  <c r="L109" i="1"/>
  <c r="M12" i="1"/>
  <c r="M17" i="1"/>
  <c r="K39" i="1"/>
  <c r="F62" i="1"/>
  <c r="F58" i="1" s="1"/>
  <c r="L63" i="1"/>
  <c r="L105" i="1"/>
  <c r="M105" i="1" s="1"/>
  <c r="L107" i="1"/>
  <c r="L16" i="1"/>
  <c r="K50" i="1"/>
  <c r="G51" i="1"/>
  <c r="K53" i="1"/>
  <c r="K109" i="1"/>
  <c r="K114" i="1"/>
  <c r="M14" i="1"/>
  <c r="M38" i="1"/>
  <c r="K48" i="1"/>
  <c r="K63" i="1"/>
  <c r="K96" i="1"/>
  <c r="K107" i="1"/>
  <c r="G13" i="1"/>
  <c r="G8" i="1"/>
  <c r="G37" i="1"/>
  <c r="G33" i="1" s="1"/>
  <c r="G30" i="1" s="1"/>
  <c r="G62" i="1"/>
  <c r="G58" i="1" s="1"/>
  <c r="E8" i="1"/>
  <c r="L9" i="1"/>
  <c r="D13" i="1"/>
  <c r="F14" i="1"/>
  <c r="K35" i="1"/>
  <c r="K34" i="1" s="1"/>
  <c r="F38" i="1"/>
  <c r="L48" i="1"/>
  <c r="L50" i="1"/>
  <c r="K52" i="1"/>
  <c r="K60" i="1"/>
  <c r="K81" i="1"/>
  <c r="L35" i="1"/>
  <c r="L34" i="1" s="1"/>
  <c r="L52" i="1"/>
  <c r="L60" i="1"/>
  <c r="L81" i="1"/>
  <c r="F106" i="1"/>
  <c r="F86" i="1" s="1"/>
  <c r="K106" i="1" l="1"/>
  <c r="K86" i="1" s="1"/>
  <c r="L44" i="1"/>
  <c r="R79" i="1"/>
  <c r="R78" i="1" s="1"/>
  <c r="S81" i="1"/>
  <c r="K51" i="1"/>
  <c r="L51" i="1"/>
  <c r="K44" i="1"/>
  <c r="R60" i="1"/>
  <c r="Q59" i="1"/>
  <c r="M86" i="1"/>
  <c r="L106" i="1"/>
  <c r="L86" i="1" s="1"/>
  <c r="G25" i="1"/>
  <c r="G129" i="1" s="1"/>
  <c r="G107" i="1" s="1"/>
  <c r="G106" i="1" s="1"/>
  <c r="G86" i="1" s="1"/>
  <c r="L41" i="1"/>
  <c r="L14" i="1"/>
  <c r="L38" i="1"/>
  <c r="Q25" i="1"/>
  <c r="R25" i="1" s="1"/>
  <c r="S25" i="1" s="1"/>
  <c r="L59" i="1"/>
  <c r="K59" i="1"/>
  <c r="F11" i="1"/>
  <c r="K14" i="1"/>
  <c r="F41" i="1"/>
  <c r="F33" i="1" s="1"/>
  <c r="F30" i="1" s="1"/>
  <c r="F25" i="1" s="1"/>
  <c r="K38" i="1"/>
  <c r="S79" i="1" l="1"/>
  <c r="S78" i="1" s="1"/>
  <c r="Q62" i="1"/>
  <c r="Q58" i="1" s="1"/>
  <c r="S60" i="1"/>
  <c r="R59" i="1"/>
  <c r="Q24" i="1"/>
  <c r="Q129" i="1" s="1"/>
  <c r="L25" i="1"/>
  <c r="M41" i="1"/>
  <c r="K41" i="1"/>
  <c r="L11" i="1"/>
  <c r="M11" i="1"/>
  <c r="M85" i="1" s="1"/>
  <c r="M13" i="1"/>
  <c r="L62" i="1"/>
  <c r="K62" i="1"/>
  <c r="F85" i="1"/>
  <c r="F13" i="1"/>
  <c r="F8" i="1"/>
  <c r="K11" i="1"/>
  <c r="F24" i="1"/>
  <c r="F130" i="1" s="1"/>
  <c r="F131" i="1" s="1"/>
  <c r="K25" i="1"/>
  <c r="L37" i="1"/>
  <c r="L33" i="1" s="1"/>
  <c r="K37" i="1"/>
  <c r="R62" i="1" l="1"/>
  <c r="R58" i="1" s="1"/>
  <c r="S59" i="1"/>
  <c r="K33" i="1"/>
  <c r="K8" i="1"/>
  <c r="M8" i="1"/>
  <c r="L8" i="1"/>
  <c r="L13" i="1"/>
  <c r="L30" i="1"/>
  <c r="K30" i="1"/>
  <c r="L58" i="1"/>
  <c r="K58" i="1"/>
  <c r="S62" i="1" l="1"/>
  <c r="S58" i="1" s="1"/>
  <c r="L80" i="1"/>
  <c r="L85" i="1" s="1"/>
  <c r="G80" i="1"/>
  <c r="K80" i="1"/>
  <c r="K85" i="1" s="1"/>
  <c r="G79" i="1" l="1"/>
  <c r="G78" i="1" s="1"/>
  <c r="G24" i="1" s="1"/>
  <c r="G130" i="1" s="1"/>
  <c r="G131" i="1" s="1"/>
  <c r="G132" i="1" s="1"/>
  <c r="G85" i="1"/>
  <c r="K79" i="1"/>
  <c r="M78" i="1"/>
  <c r="L79" i="1"/>
  <c r="L78" i="1" l="1"/>
  <c r="K78" i="1"/>
  <c r="K24" i="1" l="1"/>
  <c r="K130" i="1"/>
  <c r="L130" i="1"/>
  <c r="L24" i="1"/>
  <c r="K131" i="1" l="1"/>
  <c r="L131" i="1"/>
  <c r="L132" i="1" s="1"/>
  <c r="Q35" i="1" l="1"/>
  <c r="R35" i="1" s="1"/>
  <c r="S35" i="1" s="1"/>
  <c r="M34" i="1" l="1"/>
  <c r="M37" i="1" l="1"/>
  <c r="M33" i="1" s="1"/>
  <c r="M30" i="1" s="1"/>
  <c r="M25" i="1" s="1"/>
  <c r="Q34" i="1"/>
  <c r="M24" i="1" l="1"/>
  <c r="M130" i="1"/>
  <c r="M131" i="1" s="1"/>
  <c r="M132" i="1" s="1"/>
  <c r="R34" i="1"/>
  <c r="Q37" i="1"/>
  <c r="Q33" i="1" s="1"/>
  <c r="R37" i="1" l="1"/>
  <c r="R33" i="1" s="1"/>
  <c r="R24" i="1" s="1"/>
  <c r="R129" i="1" s="1"/>
  <c r="S34" i="1"/>
  <c r="S37" i="1" s="1"/>
  <c r="S33" i="1" s="1"/>
  <c r="S24" i="1" s="1"/>
  <c r="S129" i="1" s="1"/>
  <c r="O106" i="1"/>
  <c r="O86" i="1" s="1"/>
  <c r="O24" i="1" l="1"/>
  <c r="O129" i="1" s="1"/>
  <c r="O130" i="1"/>
  <c r="Q130" i="1" s="1"/>
  <c r="Q131" i="1" s="1"/>
  <c r="O131" i="1" l="1"/>
  <c r="O132" i="1" s="1"/>
  <c r="R130" i="1"/>
  <c r="R131" i="1" s="1"/>
  <c r="S130" i="1" l="1"/>
  <c r="S131" i="1" s="1"/>
</calcChain>
</file>

<file path=xl/comments1.xml><?xml version="1.0" encoding="utf-8"?>
<comments xmlns="http://schemas.openxmlformats.org/spreadsheetml/2006/main">
  <authors>
    <author>Овечкина К.М.</author>
    <author>e.achkasova</author>
  </authors>
  <commentList>
    <comment ref="D5" authorId="0" shapeId="0">
      <text>
        <r>
          <rPr>
            <b/>
            <sz val="10"/>
            <color indexed="81"/>
            <rFont val="Tahoma"/>
            <family val="2"/>
            <charset val="204"/>
          </rPr>
          <t>По расчету экспертов-отнесены в доле (3,09%) по оборотно-сальдовая ведомость сч 25,26 (В соотв с Уч. Политикой)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 расчету экспертов-отнесены в доле (3,09%) по оборотно-сальдовая ведомость сч 25,26 (В соотв с Уч. Политикой)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  <charset val="204"/>
          </rPr>
          <t>e.achkasova:</t>
        </r>
        <r>
          <rPr>
            <sz val="8"/>
            <color indexed="81"/>
            <rFont val="Tahoma"/>
            <family val="2"/>
            <charset val="204"/>
          </rPr>
          <t xml:space="preserve">
По ОРЕП - нет</t>
        </r>
      </text>
    </comment>
    <comment ref="I8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 факту за 2п/г14 и 1 п./г15 = 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329 585 кВт</t>
        </r>
      </text>
    </comment>
  </commentList>
</comments>
</file>

<file path=xl/sharedStrings.xml><?xml version="1.0" encoding="utf-8"?>
<sst xmlns="http://schemas.openxmlformats.org/spreadsheetml/2006/main" count="576" uniqueCount="320">
  <si>
    <t>ЗАКЛЮЧЕНИЕ</t>
  </si>
  <si>
    <t xml:space="preserve"> для потребителей ООО "ОКС", оказывающего услуги на территории</t>
  </si>
  <si>
    <t>с. Баяндай Баяндаевского района</t>
  </si>
  <si>
    <t>№ п./п.</t>
  </si>
  <si>
    <t>Наименование показателя</t>
  </si>
  <si>
    <t>Единица
измерений</t>
  </si>
  <si>
    <t xml:space="preserve">2014 год </t>
  </si>
  <si>
    <t>2017 год (Приказ от 28.12.2016 № 634), тарифы действуют с 01.01.2017)</t>
  </si>
  <si>
    <t>Заявлено Предприятием на 2020 год</t>
  </si>
  <si>
    <t>Представлено Предприятием в качестве обоснования</t>
  </si>
  <si>
    <t>Основания, по которым произведен расчет экспертами Службы</t>
  </si>
  <si>
    <t>Рост по отношению к базовому периоду, %</t>
  </si>
  <si>
    <t>план</t>
  </si>
  <si>
    <t>факт июль-декабрь      2014 года</t>
  </si>
  <si>
    <t>Баланс:</t>
  </si>
  <si>
    <t>1.</t>
  </si>
  <si>
    <t>Объем поднятой воды</t>
  </si>
  <si>
    <t>куб. м</t>
  </si>
  <si>
    <t>Обоснование не представлено.</t>
  </si>
  <si>
    <t>По нижеприведенным основаниям.</t>
  </si>
  <si>
    <t>2.</t>
  </si>
  <si>
    <t>Получено воды со стороны</t>
  </si>
  <si>
    <t>Не заявлены.</t>
  </si>
  <si>
    <t>3.</t>
  </si>
  <si>
    <t>Объем воды, используемой на собственные хозяйственно-бытовые нужды</t>
  </si>
  <si>
    <t>4.</t>
  </si>
  <si>
    <t>Объем воды, поданной в сеть</t>
  </si>
  <si>
    <t>5.</t>
  </si>
  <si>
    <t>Потери воды в сети</t>
  </si>
  <si>
    <t>6.</t>
  </si>
  <si>
    <t>Уровень потерь воды в общем объеме воды, поданной в сеть</t>
  </si>
  <si>
    <t>%</t>
  </si>
  <si>
    <t>7.</t>
  </si>
  <si>
    <t>Объем полезного отпуска питьевого водоснабжения всего, в том числе:</t>
  </si>
  <si>
    <t>7.1.</t>
  </si>
  <si>
    <t>Объем воды, используемой на производственные нужды всего, в том числе:</t>
  </si>
  <si>
    <t xml:space="preserve">Принят в объеме, учтенном при установлении тарифа на тепловую энергию, на технологические нужды теплоснабжения кот. Центральная </t>
  </si>
  <si>
    <t>7.1.1.</t>
  </si>
  <si>
    <t>на нужды горячего водоснабжения</t>
  </si>
  <si>
    <t>7.2.</t>
  </si>
  <si>
    <t>Отпущено воды другим водопроводам</t>
  </si>
  <si>
    <t>7.3.</t>
  </si>
  <si>
    <t>Объем реализации воды всего, в том числе:</t>
  </si>
  <si>
    <t>7.3.1.</t>
  </si>
  <si>
    <t>бюджетным потребителям</t>
  </si>
  <si>
    <t>Принят на уровне базового периода регулирования.</t>
  </si>
  <si>
    <t>7.3.2.</t>
  </si>
  <si>
    <t>населению</t>
  </si>
  <si>
    <t>7.3.3.</t>
  </si>
  <si>
    <t>прочим потребителям</t>
  </si>
  <si>
    <t>Расчет необходимой валовой выручки:</t>
  </si>
  <si>
    <t>Является плательщиком НДС (да/нет)</t>
  </si>
  <si>
    <t>да</t>
  </si>
  <si>
    <t>Текущие расходы</t>
  </si>
  <si>
    <t>тыс. руб.</t>
  </si>
  <si>
    <t>1.1.</t>
  </si>
  <si>
    <t>Операционные расходы</t>
  </si>
  <si>
    <t>Приняты в соответствии с п. 60 Основ ценообразования</t>
  </si>
  <si>
    <t>Параметры расчета:</t>
  </si>
  <si>
    <t>индекс эффективности операционных расходов</t>
  </si>
  <si>
    <t>-</t>
  </si>
  <si>
    <t>Расчет не представлен.</t>
  </si>
  <si>
    <t>Определены в соответствии с ДПР</t>
  </si>
  <si>
    <t>индекс потребительских цен</t>
  </si>
  <si>
    <t>Заявлен в размере фактического ИПЦ за 2016 год</t>
  </si>
  <si>
    <t>Определен в соответствии с основными параметрами прогноза социально–экономического развития РФ с учетом формулы корректировки</t>
  </si>
  <si>
    <t>индекс изменения количества активов</t>
  </si>
  <si>
    <t>1.1.1.</t>
  </si>
  <si>
    <t>Производственные расходы</t>
  </si>
  <si>
    <t>1.1.1.1.</t>
  </si>
  <si>
    <t>Расходы на приобретение сырья и материалов и их хранение</t>
  </si>
  <si>
    <t>1.1.1.2.</t>
  </si>
  <si>
    <t>Расходы на оплату регулируемыми организациями выполняемых сторонними организациями работ и (или) услуг</t>
  </si>
  <si>
    <t>1.1.1.3.</t>
  </si>
  <si>
    <t>Расходы на оплату труда и страховые взносы производственного персонала,
в том числе:</t>
  </si>
  <si>
    <t>1.1.1.3.1.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</si>
  <si>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</si>
  <si>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</si>
  <si>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руб./мес.</t>
  </si>
  <si>
    <t>Предприятие заявляет увелечение среднемесячного оклада в размере 109,8%</t>
  </si>
  <si>
    <t>Установленная заработная плата  на 2018 год проиндексирована на 103,6%</t>
  </si>
  <si>
    <t>Численность (среднесписочная) основного производственного персонала, принятая для расчета</t>
  </si>
  <si>
    <t>ед.</t>
  </si>
  <si>
    <t>Преприятие заявляет увеличение нормативной численности производственнных работников на основании дополнительного соглашения к концессионному соглашению о передачи сетей холодного водоснабжения протяженность 1670 п.м.</t>
  </si>
  <si>
    <t>Принята по заявлению предприятия.</t>
  </si>
  <si>
    <t>1.1.1.3.2.</t>
  </si>
  <si>
    <t>Страховые взносы от оплаты труда основного производственного персонала</t>
  </si>
  <si>
    <t>Расходы заявлены в размере 30,2% от фонда оплаты труда основного производственного персонала.</t>
  </si>
  <si>
    <t>Приняты в размере 30,2% от фонда оплаты труда основного производственного персонала</t>
  </si>
  <si>
    <t>1.1.1.3.3.</t>
  </si>
  <si>
    <t>Фонд оплаты труда цехового персонала</t>
  </si>
  <si>
    <t>Заработная плата 2018 года проиндексирована на 103,6%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</si>
  <si>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</si>
  <si>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</si>
  <si>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Преприятие заявляет увеличение нормативной численности цехового персонала на основании дополнительного соглашения к концессионному соглашению о передачи сетей холодного водоснабжения протяженность 1670 п.м.</t>
  </si>
  <si>
    <t>1.1.1.3.4.</t>
  </si>
  <si>
    <t>Страховые взносы от оплаты труда цехового персонала</t>
  </si>
  <si>
    <t>Расходы заявлены в размере 30,2% от фонда оплаты труда цехового персонала.</t>
  </si>
  <si>
    <t>Приняты в размере 30,2% от фонда оплаты труда цехового  персонала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</si>
  <si>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</si>
  <si>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</si>
  <si>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</si>
  <si>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</si>
  <si>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</si>
  <si>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Прочие производственные расходы</t>
  </si>
  <si>
    <t>1.1.1.6.1.</t>
  </si>
  <si>
    <t>Расходы на амортизацию автотранспорта</t>
  </si>
  <si>
    <t>1.1.1.6.2.</t>
  </si>
  <si>
    <t>Расходы на приобретение (использование) вспомогательных материалов, запасных частей</t>
  </si>
  <si>
    <t>1.1.1.6.3.</t>
  </si>
  <si>
    <t>Расходы на эксплуатацию, техническое обслуживание и ремонт автотранспорта</t>
  </si>
  <si>
    <t>1.1.1.6.4.</t>
  </si>
  <si>
    <t>Расходы на осуществление производственного контроля качества воды</t>
  </si>
  <si>
    <t>Заявлены расходы по договору №11/ОКС/2017 на лабораторные исследования питьевой воды.</t>
  </si>
  <si>
    <t>Расходы приняты в размере индекса  к предыдущему  году.</t>
  </si>
  <si>
    <t>1.1.1.6.5.</t>
  </si>
  <si>
    <t>Расходы на аварийно-диспетчерское обслуживание</t>
  </si>
  <si>
    <t>1.1.1.6.6.</t>
  </si>
  <si>
    <t>Расходы на охрану труда</t>
  </si>
  <si>
    <t>Расчеты затрат по охране труда (спецодежда,  мыло, медицинские осмотры) в соответствии  с приказом министерства здравоохранения и социального развития № 543н от 3.10.2008г., договор на поставку спец. одежды (конкурс).</t>
  </si>
  <si>
    <t>Расходы на охрану труда  приняты в размере индекса к предыдущему году</t>
  </si>
  <si>
    <t>1.1.2.</t>
  </si>
  <si>
    <t>Ремонтные расходы</t>
  </si>
  <si>
    <t>1.1.2.1.</t>
  </si>
  <si>
    <t>Расходы на текущий ремонт централизованных систем водоснабжения либо объектов, входящих в состав таких систем</t>
  </si>
  <si>
    <t>Акт обследования, график работ, ведомости объемов работ, локальные ресурсные сметные расчеты на капитальный ремонт, договор на поставку материалов на нужды текущего ремонта, заключенный в результате торгов.</t>
  </si>
  <si>
    <t>Расходы на текущий ремонт  приняты с индексом к предыдущему году</t>
  </si>
  <si>
    <t>1.1.2.2.</t>
  </si>
  <si>
    <t>Расходы на капитальный ремонт централизованных систем водоснабжения либо объектов, входящих в состав таких систем</t>
  </si>
  <si>
    <t>Акт обследования, график работ, ведомости объемов работ, локальные ресурсные сметные расчеты на капитальный ремонт, договор на проведение капитального ремонта, заключенный в результате торгов.</t>
  </si>
  <si>
    <t>Расходы на капитальный ремонт  приняты с индексом к предыдущему году</t>
  </si>
  <si>
    <t>1.1.2.3.</t>
  </si>
  <si>
    <t>Расходы на оплату труда и отчисления на социальные нужды ремонтного персонала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</si>
  <si>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</si>
  <si>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</si>
  <si>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1.1.2.4.</t>
  </si>
  <si>
    <t>Страховые взносы от оплаты труда ремонтного персонала</t>
  </si>
  <si>
    <t>1.1.3.</t>
  </si>
  <si>
    <t>Административные расходы</t>
  </si>
  <si>
    <t>1.1.3.1.</t>
  </si>
  <si>
    <t>Фонд оплаты труда административного персонала</t>
  </si>
  <si>
    <t>Среднемесячная оплата труда административного персонала</t>
  </si>
  <si>
    <t xml:space="preserve">Принята  с индексом 103,6% к предыдущему году </t>
  </si>
  <si>
    <t>Численность (среднесписочная) административного персонала, относимая на регулируемый вид деятельности</t>
  </si>
  <si>
    <t>Преприятие заявляет увеличение нормативной численности  работников АУП на основании дополнительного соглашения к концессионному соглашению о передачи сетей холодного водоснабжения протяженность 1670 п.м.</t>
  </si>
  <si>
    <t>Принята по расчету предприятия</t>
  </si>
  <si>
    <t>1.1.3.2.</t>
  </si>
  <si>
    <t>Страховые взносы от оплаты труда административного персонала</t>
  </si>
  <si>
    <t>Приняты в размере 30,2% от фонда оплаты труда административного   персонала</t>
  </si>
  <si>
    <t>1.1.3.3.</t>
  </si>
  <si>
    <t>Прочие административные расходы:</t>
  </si>
  <si>
    <t>Заявлены в размере базового периода с применением ИПЦ 109,8%. Предоставлены копия приказов на компенсацию сотовой связи, ГСМ.</t>
  </si>
  <si>
    <t>Приняты с индексом- 103,6 к предыдущему году</t>
  </si>
  <si>
    <t>Расходы на оплату работ и услуг, выполняемых сторонними организациями: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</si>
  <si>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</si>
  <si>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</si>
  <si>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</si>
  <si>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</si>
  <si>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</si>
  <si>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</si>
  <si>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</si>
  <si>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</si>
  <si>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</si>
  <si>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страхование производственных объектов, учитываемые при определении базы по налогу на прибыль</t>
  </si>
  <si>
    <t>Расходы на амортизацию непроизводственных активов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</si>
  <si>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</si>
  <si>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1.2.</t>
  </si>
  <si>
    <t>Расходы на электрическую энергию и мощность</t>
  </si>
  <si>
    <t>1.2.1.</t>
  </si>
  <si>
    <t>Расходы на покупку электрической энергии</t>
  </si>
  <si>
    <t xml:space="preserve">Объем покупной энергии </t>
  </si>
  <si>
    <t>кВт-ч</t>
  </si>
  <si>
    <t>Заявлен исходя из удельного расхода электрической энергии на 1 куб. м. воды, утвержденного долгосрочными параметрами концессионного соглашения.</t>
  </si>
  <si>
    <t>Принят исходя из удельного расхода электрической энергии на 1 куб. м. воды, утвержденного долгосрочными параметрами концессионного соглашения.</t>
  </si>
  <si>
    <r>
      <t xml:space="preserve">Тариф на электрическую энергию </t>
    </r>
    <r>
      <rPr>
        <b/>
        <sz val="11"/>
        <rFont val="Times New Roman"/>
        <family val="1"/>
        <charset val="204"/>
      </rPr>
      <t>(1-ЦК уровень напряжения НН (менее 150 кВт))</t>
    </r>
  </si>
  <si>
    <t>руб./ кВт-ч</t>
  </si>
  <si>
    <t>Заявлена цена за 1 квт на уровне базового периода, с применением индекса 109,8%</t>
  </si>
  <si>
    <t xml:space="preserve">Принят согласно п. 22 Постановления Правительства РФ от 13.05.2013 N 406
"О государственном регулировании тарифов в сфере водоснабжения и водоотведения" с применением прогнозного  индекса ИПЦ 105,9% на 2019г., а также на основании заявления предприятия ООО "ОКС" с 1 января 2019 года переходит на общую систему налогообложения, НДС входящий в состав стоимости 1 квт исключен.
</t>
  </si>
  <si>
    <t>1.2.2.</t>
  </si>
  <si>
    <t>Расходы на покупку мощности</t>
  </si>
  <si>
    <t xml:space="preserve">Мощность </t>
  </si>
  <si>
    <t>МВт в мес.</t>
  </si>
  <si>
    <r>
      <t xml:space="preserve">Ставка за мощность </t>
    </r>
    <r>
      <rPr>
        <b/>
        <sz val="11"/>
        <rFont val="Times New Roman"/>
        <family val="1"/>
        <charset val="204"/>
      </rPr>
      <t>(уровень напряжения)</t>
    </r>
  </si>
  <si>
    <t>руб./ МВт в мес.</t>
  </si>
  <si>
    <t>1.2.3.</t>
  </si>
  <si>
    <t>Удельное потребление электрической энергии на единицу объема воды, отпускаемой в сеть</t>
  </si>
  <si>
    <t>кВт-ч/куб. м</t>
  </si>
  <si>
    <t>Заявлен в размере утвержденным долгосрочными параметрами концессионного соглашения</t>
  </si>
  <si>
    <t>1.3.</t>
  </si>
  <si>
    <t>Неподконтрольные расходы</t>
  </si>
  <si>
    <t>1.3.1.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</si>
  <si>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</si>
  <si>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1.3.1.1.</t>
  </si>
  <si>
    <t>Расходы на тепловую энергию</t>
  </si>
  <si>
    <t>объем тепловой энергии</t>
  </si>
  <si>
    <t>Гкал</t>
  </si>
  <si>
    <t>тариф на тепловую энергию</t>
  </si>
  <si>
    <t>руб./Гкал</t>
  </si>
  <si>
    <t>1.3.1.2.</t>
  </si>
  <si>
    <t>Расходы на горячую воду</t>
  </si>
  <si>
    <t>объем горячей воды</t>
  </si>
  <si>
    <t>тариф на горячую воду</t>
  </si>
  <si>
    <t>руб./куб. м</t>
  </si>
  <si>
    <t>1.3.1.3.</t>
  </si>
  <si>
    <t>Расходы на транспортировку воды</t>
  </si>
  <si>
    <t>объем транспортируемой воды</t>
  </si>
  <si>
    <t>тариф на транспортировку воды</t>
  </si>
  <si>
    <t>1.3.1.4.</t>
  </si>
  <si>
    <t>Расходы на покупку воды</t>
  </si>
  <si>
    <t>объем покупной воды</t>
  </si>
  <si>
    <t>тариф на воду</t>
  </si>
  <si>
    <t>1.3.1.5.</t>
  </si>
  <si>
    <t>Расходы на водоотведение</t>
  </si>
  <si>
    <t>объем услуги водоотведение</t>
  </si>
  <si>
    <t>тариф на водоотведение</t>
  </si>
  <si>
    <t>1.3.1.6.</t>
  </si>
  <si>
    <t xml:space="preserve">Расходы на транспортировку сточных вод </t>
  </si>
  <si>
    <t>объем транспортируемых сточных вод</t>
  </si>
  <si>
    <t xml:space="preserve">тариф на транспортировку сточных вод </t>
  </si>
  <si>
    <t>1.3.2.</t>
  </si>
  <si>
    <t>Расходы на уплату налогов, сборов и других обязательных платежей</t>
  </si>
  <si>
    <t>1.3.2.1.</t>
  </si>
  <si>
    <t>Налог на прибыль</t>
  </si>
  <si>
    <t>Заявлен НДС в размере 20% от суммы прибыли.</t>
  </si>
  <si>
    <t>Определен в размере 20% от суммы прибыли.</t>
  </si>
  <si>
    <t>1.3.2.2.</t>
  </si>
  <si>
    <t>Налог на имущество организаций</t>
  </si>
  <si>
    <t>Заявлены расходы на уплату налога на имущество по объекту Резервная емкость запаса воды, введенного в эксплуатацию в результате реализации ИП</t>
  </si>
  <si>
    <t>Приняты в предложенном предприятии размере, на основании представленных ОСВ по счету 04.</t>
  </si>
  <si>
    <t>1.3.2.3.</t>
  </si>
  <si>
    <t>Земельный налог и арендная плата за землю</t>
  </si>
  <si>
    <t>Заявлены расходы на уплату земельного налога по договору аренды земельного участка, на котором находится водонапорная башня.</t>
  </si>
  <si>
    <t>Приняты в размере арендной платы за пользование земельным участком (627472,44 руб. - кадастровая стоимость земельного участка под водопроводом 109807,8 руб - кадастровая стоимость земельного участка под водопровод.).</t>
  </si>
  <si>
    <t>1.3.2.4.</t>
  </si>
  <si>
    <t>Водный налог</t>
  </si>
  <si>
    <t>1.3.2.5.</t>
  </si>
  <si>
    <t>Плата за пользование водным объектом</t>
  </si>
  <si>
    <t>1.3.2.6.</t>
  </si>
  <si>
    <t>Транспортный налог</t>
  </si>
  <si>
    <t>1.3.2.7.</t>
  </si>
  <si>
    <t>Плата за негативное воздействие на окружающую среду</t>
  </si>
  <si>
    <t>1.3.2.8.</t>
  </si>
  <si>
    <t>Прочие налоги и сборы:</t>
  </si>
  <si>
    <t>Единый налог, уплачиваемый организацией, применяющей упрощенную систему налогообложения</t>
  </si>
  <si>
    <t>Заявлен в размере 1% от НВВ</t>
  </si>
  <si>
    <t>Принят с учетом корректировки налогооблагаемой базы, в соответствии с применением упрощенной системы налогообложения с объектом налогообложения доходы, уменьшенные на величину расходов, в соответствии со ст. 346.18 Налогового Кодекса Российской Федерации налогоплательщик уплачивает минимальный налог в размере 1 процента налоговой базы.</t>
  </si>
  <si>
    <t>1.3.3.</t>
  </si>
  <si>
    <t>Расходы на арендную плату, концессионную плату и лизинговые платежи в отношении централизованных систем водоснабжения либо объектов, входящих в состав таких систем</t>
  </si>
  <si>
    <t>1.3.4.</t>
  </si>
  <si>
    <t>Сбытовые расходы гарантирующей организации (расходы по сомнительным долгам (дебиторской задолженности)</t>
  </si>
  <si>
    <t>1.3.5.</t>
  </si>
  <si>
    <t>Экономия средств, достигнутая в результате снижения расходов предыдущего долгосрочного периода регулирования</t>
  </si>
  <si>
    <t>1.3.6.</t>
  </si>
  <si>
    <t>Расходы на обслуживание бесхозяйных сетей</t>
  </si>
  <si>
    <t>1.3.7.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</si>
  <si>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</si>
  <si>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1.3.8.</t>
  </si>
  <si>
    <t>Займы и кредиты (для метода индексации)</t>
  </si>
  <si>
    <t>1.3.8.1.</t>
  </si>
  <si>
    <t>Возврат займов и кредитов</t>
  </si>
  <si>
    <t>1.3.8.2.</t>
  </si>
  <si>
    <t>Проценты по займам и кредитам</t>
  </si>
  <si>
    <t>Амортизация</t>
  </si>
  <si>
    <t>Нормативная прибыль</t>
  </si>
  <si>
    <t>Заявлены в соответствии с ДПР.</t>
  </si>
  <si>
    <t xml:space="preserve">Принята в соответствии с долгосрочными параметрами концессионного соглашения в размере 11,93% на 2019 год.
</t>
  </si>
  <si>
    <t>3.1.</t>
  </si>
  <si>
    <t>Расходы на капитальные вложения (инвестиции), определяемые в соответствии с утвержденными инвестиционными программами</t>
  </si>
  <si>
    <t>3.2.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</si>
  <si>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</si>
  <si>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3.3.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</si>
  <si>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</si>
  <si>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Расчетная предпринимательская прибыль гарантирующей организации</t>
  </si>
  <si>
    <t>Заявлена в размере 5%.</t>
  </si>
  <si>
    <t>Принята в соответствии с признанием ООО "ОКС" гарантирующей организации на территории с. Баяндай.</t>
  </si>
  <si>
    <t>По вышеприведенным основаниям.</t>
  </si>
  <si>
    <t>Определен исходя из принятой необходимой валовой выручки и объема полезного отпуска услуг.</t>
  </si>
  <si>
    <t>Темп роста тарифа</t>
  </si>
  <si>
    <t>Ответственный за подготовку экспертного заключения</t>
  </si>
  <si>
    <t>По расчету экспертов  на 2020  год</t>
  </si>
  <si>
    <t>Заявлено Предприятием на 2021 год</t>
  </si>
  <si>
    <t>Прогноз Предприятия на 2023 г.</t>
  </si>
  <si>
    <t>Прогноз Предприятия на 2024 г.</t>
  </si>
  <si>
    <t>Прогноз Предприятия на 2025 г.</t>
  </si>
  <si>
    <t>Объем реализации заявлен по статистическим данным за 2017-2019 гг.</t>
  </si>
  <si>
    <t>Расчета нормативной численности на основании  Приказа Госстроя РФ от 22.03.99 № 66 ч. 2.2.</t>
  </si>
  <si>
    <t>Страховве взносы в  размере 30,2% от фонда оплаты труда</t>
  </si>
  <si>
    <t>Нормативная прибыль в размере -8,93%</t>
  </si>
  <si>
    <t>На основании акта осмотра сетей, ВНБ, дефектной ведомости,  сметного расчета, графиков ППР, графиков текущих ремонтов</t>
  </si>
  <si>
    <t>Капитальный ремонт не заявлен.</t>
  </si>
  <si>
    <t>Расход электроэнергии расчитан на основании удельного расхода потребления электрической энергии на 1 м3 поднятой воды, утвержденные в долгосрочных параметрах концессионного соглашения № 1 от 24.11.2016 г.</t>
  </si>
  <si>
    <t>По нижеприведенным основаниям</t>
  </si>
  <si>
    <t>Не заявлены</t>
  </si>
  <si>
    <t>Принят на уровне базового периода нрегулирования</t>
  </si>
  <si>
    <t>Принята нормативная численность, определенная в соответствии с приказом Госстроя РФ от 22.03.1999 № 66.</t>
  </si>
  <si>
    <t>В соответствии с п.48 Основ ценообразования.</t>
  </si>
  <si>
    <t>Нормативная прибыль в размере 8,93%</t>
  </si>
  <si>
    <t>По ниже приведеным основаниям</t>
  </si>
  <si>
    <t>Определен исходя из ставки налога 20 % и расходов на финансирование мероприятий, предусмотренных утвержденной инвестиционной программой.</t>
  </si>
  <si>
    <t>Определен исходя из заявленной необходимой валовой выручки и объема полезного отпуска</t>
  </si>
  <si>
    <t>По вышеприведенным основаниям</t>
  </si>
  <si>
    <t>Заявленные расходы включены в расчет тарифа в соответствии с п.7891) Основ ценообразования в размере 5% текущих расходов и расходов на амортизацию .</t>
  </si>
  <si>
    <t>Расходы на уплату налога приняты в соответствии с положением главы 25.2 Налогового кодекса РФ.</t>
  </si>
  <si>
    <t>Расходы на арендную плату за землю приняты в соответствии с договором аренды земельных участков № 1 от 07.10.2017 г.</t>
  </si>
  <si>
    <t xml:space="preserve">Оплата труда согласно штатного расписания ООО "ОКС" на 01.01.2021 г. утвержденного на основании Положения об оплате труда, Положении о премировании ООО "ОКС" </t>
  </si>
  <si>
    <t>Согласно  расчету админстративных расходов (приложение к тарифу)</t>
  </si>
  <si>
    <t>Тариф на электрическую энергию ООО "Иркутскэнергосбыт" по прогнозным данным на 2022 год</t>
  </si>
  <si>
    <t xml:space="preserve">Оплата труда согласно штатного расписания ООО "ОКС" на 01.01.2022 г. утвержденного на основании Положения об оплате труда, Положении о премировании ООО "ОКС" </t>
  </si>
  <si>
    <t xml:space="preserve">Затраты на спец.одежду расчитанные  соответствии с Типовыми нормами выдачи специальной одежды, утвержденными приказом Минздрава РФ от 3.10.2008 № 543н . 2) Проведение медосмотров в соответсвии Положением  приказа Минздравсоцразвития РФ от 12.04.2011 № 302 н, определяющего обязанность работодателя проводить медицинские осмотры. </t>
  </si>
  <si>
    <t>По расчету экспертов Администрации  на 2022год</t>
  </si>
  <si>
    <t>Установленная заработная плата  на 2022 год проиндексирована на 103,3%</t>
  </si>
  <si>
    <t>Отчисления на социальные нужды приняты в соответствии с пп.17 п1 и п 2.1.ст.НК РФ, так как Предприятие отнесено к субъектам малого и среднего прдпринимательства по данным Единого реестра субъекта малого и среднего предпринимательства ФНС Росссии</t>
  </si>
  <si>
    <t>Административные расходы приняты в размере установленных с применением индексации 103,3%</t>
  </si>
  <si>
    <t>Стоимость электроэнергии принята в размере средневзвешанной стоимости электроэнергии, определенной исходя из фактических цен на электроэнергию и объемов с учётом ИЦП по отрасли "обеспечение элэнергией, газом и паром, кондиционировнаие воздуха" на 2021-2022 годы согласно Прогнозу</t>
  </si>
  <si>
    <t>Согласно Прогнозу социально-экономического развития Российской Федерации на 2022 год  и на плановый период 2023 и 2024 годов, разработанному Минэкономразвития России в сентябре 2021 года (далее - Прогноз).</t>
  </si>
  <si>
    <t>Затраты приняты на основании расчета Предприятия, так как не превышает расчёт Эксперта</t>
  </si>
  <si>
    <t>Установленная заработная плата  на 2021 год проиндексирована на 103,3%</t>
  </si>
  <si>
    <r>
      <t xml:space="preserve">Операционные расходы рассчитаны в соответствии с п. 36 Методических указаний исходя из затрат базового периода с учетом вышеприведенных параметров для расчета расходов на 2022 год. </t>
    </r>
    <r>
      <rPr>
        <b/>
        <sz val="10"/>
        <color indexed="10"/>
        <rFont val="Times New Roman"/>
        <family val="1"/>
        <charset val="204"/>
      </rPr>
      <t/>
    </r>
  </si>
  <si>
    <t>Произведен расчет на основани СанПиН 2.1.4.10.74-01</t>
  </si>
  <si>
    <t>Расчет тарифа на питьевую воду (питьевое водоснабжение) на 2022 год ( корректировка) методом индексации.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</si>
</sst>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.0_ ;\-#,##0.0\ "/>
    <numFmt numFmtId="165" formatCode="0.0%"/>
    <numFmt numFmtId="166" formatCode="0.0"/>
    <numFmt numFmtId="167" formatCode="#,##0.00_ ;\-#,##0.00\ "/>
    <numFmt numFmtId="168" formatCode="#,##0.000_ ;\-#,##0.000\ "/>
    <numFmt numFmtId="169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6" fillId="0" borderId="0"/>
    <xf numFmtId="0" fontId="15" fillId="0" borderId="9" applyBorder="0">
      <alignment horizontal="center" vertical="center" wrapText="1"/>
    </xf>
    <xf numFmtId="0" fontId="14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5">
    <xf numFmtId="0" fontId="0" fillId="0" borderId="0" xfId="0"/>
    <xf numFmtId="0" fontId="2" fillId="2" borderId="5" xfId="0" applyFont="1" applyFill="1" applyBorder="1" applyAlignment="1" applyProtection="1">
      <alignment horizontal="left" vertical="top" wrapText="1"/>
      <protection locked="0"/>
    </xf>
    <xf numFmtId="164" fontId="2" fillId="2" borderId="5" xfId="1" applyNumberFormat="1" applyFont="1" applyFill="1" applyBorder="1" applyAlignment="1" applyProtection="1">
      <alignment horizontal="left" vertical="top" wrapText="1"/>
      <protection locked="0"/>
    </xf>
    <xf numFmtId="164" fontId="2" fillId="2" borderId="1" xfId="1" applyNumberFormat="1" applyFont="1" applyFill="1" applyBorder="1" applyAlignment="1" applyProtection="1">
      <alignment vertical="top" wrapText="1"/>
      <protection locked="0"/>
    </xf>
    <xf numFmtId="164" fontId="2" fillId="2" borderId="5" xfId="1" applyNumberFormat="1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164" fontId="2" fillId="2" borderId="5" xfId="1" applyNumberFormat="1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/>
    </xf>
    <xf numFmtId="164" fontId="2" fillId="2" borderId="5" xfId="1" applyNumberFormat="1" applyFont="1" applyFill="1" applyBorder="1" applyAlignment="1" applyProtection="1">
      <alignment horizontal="center" vertical="top"/>
    </xf>
    <xf numFmtId="165" fontId="2" fillId="2" borderId="5" xfId="2" applyNumberFormat="1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16" fontId="2" fillId="2" borderId="5" xfId="0" applyNumberFormat="1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center" vertical="top"/>
    </xf>
    <xf numFmtId="10" fontId="2" fillId="2" borderId="5" xfId="1" applyNumberFormat="1" applyFont="1" applyFill="1" applyBorder="1" applyAlignment="1" applyProtection="1">
      <alignment horizontal="center" vertical="top"/>
    </xf>
    <xf numFmtId="0" fontId="2" fillId="2" borderId="5" xfId="0" applyFont="1" applyFill="1" applyBorder="1" applyAlignment="1">
      <alignment vertical="top" wrapText="1"/>
    </xf>
    <xf numFmtId="167" fontId="2" fillId="2" borderId="5" xfId="1" applyNumberFormat="1" applyFont="1" applyFill="1" applyBorder="1" applyAlignment="1" applyProtection="1">
      <alignment horizontal="center" vertical="top"/>
      <protection locked="0"/>
    </xf>
    <xf numFmtId="14" fontId="2" fillId="2" borderId="5" xfId="0" applyNumberFormat="1" applyFont="1" applyFill="1" applyBorder="1" applyAlignment="1" applyProtection="1">
      <alignment horizontal="center" vertical="top"/>
      <protection locked="0"/>
    </xf>
    <xf numFmtId="4" fontId="2" fillId="2" borderId="5" xfId="0" applyNumberFormat="1" applyFont="1" applyFill="1" applyBorder="1" applyAlignment="1" applyProtection="1">
      <alignment horizontal="center" vertical="top"/>
      <protection locked="0"/>
    </xf>
    <xf numFmtId="4" fontId="2" fillId="2" borderId="5" xfId="0" applyNumberFormat="1" applyFont="1" applyFill="1" applyBorder="1" applyAlignment="1" applyProtection="1">
      <alignment horizontal="left" vertical="top" wrapText="1"/>
      <protection locked="0"/>
    </xf>
    <xf numFmtId="4" fontId="2" fillId="2" borderId="5" xfId="1" applyNumberFormat="1" applyFont="1" applyFill="1" applyBorder="1" applyAlignment="1" applyProtection="1">
      <alignment horizontal="center" vertical="top"/>
      <protection locked="0"/>
    </xf>
    <xf numFmtId="4" fontId="8" fillId="2" borderId="2" xfId="0" applyNumberFormat="1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left" vertical="top"/>
    </xf>
    <xf numFmtId="167" fontId="2" fillId="2" borderId="5" xfId="1" applyNumberFormat="1" applyFont="1" applyFill="1" applyBorder="1" applyAlignment="1" applyProtection="1">
      <alignment horizontal="center" vertical="top"/>
    </xf>
    <xf numFmtId="167" fontId="6" fillId="2" borderId="5" xfId="1" applyNumberFormat="1" applyFont="1" applyFill="1" applyBorder="1" applyAlignment="1" applyProtection="1">
      <alignment horizontal="center" vertical="top"/>
    </xf>
    <xf numFmtId="165" fontId="2" fillId="2" borderId="5" xfId="0" applyNumberFormat="1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vertical="top"/>
      <protection locked="0"/>
    </xf>
    <xf numFmtId="164" fontId="2" fillId="2" borderId="0" xfId="0" applyNumberFormat="1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/>
      <protection locked="0"/>
    </xf>
    <xf numFmtId="164" fontId="2" fillId="2" borderId="1" xfId="1" applyNumberFormat="1" applyFont="1" applyFill="1" applyBorder="1" applyAlignment="1" applyProtection="1">
      <alignment horizontal="left" vertical="top" wrapText="1"/>
      <protection locked="0"/>
    </xf>
    <xf numFmtId="164" fontId="2" fillId="2" borderId="4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66" fontId="2" fillId="2" borderId="5" xfId="0" applyNumberFormat="1" applyFont="1" applyFill="1" applyBorder="1" applyAlignment="1">
      <alignment horizontal="left" vertical="top" wrapText="1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5" xfId="2" applyNumberFormat="1" applyFont="1" applyFill="1" applyBorder="1" applyAlignment="1" applyProtection="1">
      <alignment horizontal="center" vertical="center" wrapText="1"/>
    </xf>
    <xf numFmtId="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left" vertical="top"/>
    </xf>
    <xf numFmtId="164" fontId="2" fillId="2" borderId="5" xfId="1" applyNumberFormat="1" applyFont="1" applyFill="1" applyBorder="1" applyAlignment="1" applyProtection="1">
      <alignment horizontal="left" vertical="top"/>
      <protection locked="0"/>
    </xf>
    <xf numFmtId="4" fontId="2" fillId="2" borderId="0" xfId="0" applyNumberFormat="1" applyFont="1" applyFill="1" applyAlignment="1" applyProtection="1">
      <alignment horizontal="center" vertical="center" wrapText="1"/>
      <protection locked="0"/>
    </xf>
    <xf numFmtId="1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9" fontId="2" fillId="2" borderId="5" xfId="1" applyNumberFormat="1" applyFont="1" applyFill="1" applyBorder="1" applyAlignment="1" applyProtection="1">
      <alignment horizontal="center" vertical="top" wrapText="1"/>
      <protection locked="0"/>
    </xf>
    <xf numFmtId="164" fontId="2" fillId="2" borderId="5" xfId="0" applyNumberFormat="1" applyFont="1" applyFill="1" applyBorder="1" applyAlignment="1" applyProtection="1">
      <alignment horizontal="left" vertical="top" wrapText="1"/>
      <protection locked="0"/>
    </xf>
    <xf numFmtId="164" fontId="2" fillId="2" borderId="5" xfId="1" applyNumberFormat="1" applyFont="1" applyFill="1" applyBorder="1" applyAlignment="1" applyProtection="1">
      <alignment horizontal="center" vertical="top" wrapText="1"/>
      <protection locked="0"/>
    </xf>
    <xf numFmtId="4" fontId="2" fillId="2" borderId="5" xfId="0" applyNumberFormat="1" applyFont="1" applyFill="1" applyBorder="1" applyAlignment="1" applyProtection="1">
      <alignment vertical="top" wrapText="1"/>
      <protection locked="0"/>
    </xf>
    <xf numFmtId="4" fontId="2" fillId="2" borderId="0" xfId="0" applyNumberFormat="1" applyFont="1" applyFill="1" applyAlignment="1" applyProtection="1">
      <alignment vertical="top"/>
      <protection locked="0"/>
    </xf>
    <xf numFmtId="9" fontId="2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9" fontId="2" fillId="2" borderId="0" xfId="0" applyNumberFormat="1" applyFont="1" applyFill="1" applyAlignment="1" applyProtection="1">
      <alignment horizontal="center" vertical="top" wrapText="1"/>
      <protection locked="0"/>
    </xf>
    <xf numFmtId="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5" xfId="1" applyNumberFormat="1" applyFont="1" applyFill="1" applyBorder="1" applyAlignment="1" applyProtection="1">
      <alignment horizontal="center" vertical="center" wrapText="1"/>
    </xf>
    <xf numFmtId="2" fontId="2" fillId="2" borderId="5" xfId="2" applyNumberFormat="1" applyFont="1" applyFill="1" applyBorder="1" applyAlignment="1" applyProtection="1">
      <alignment horizontal="center" vertical="center" wrapText="1"/>
    </xf>
    <xf numFmtId="2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1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3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vertical="top" wrapText="1"/>
      <protection locked="0"/>
    </xf>
    <xf numFmtId="164" fontId="2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167" fontId="2" fillId="2" borderId="5" xfId="1" applyNumberFormat="1" applyFont="1" applyFill="1" applyBorder="1" applyAlignment="1" applyProtection="1">
      <alignment horizontal="left" vertical="top"/>
    </xf>
    <xf numFmtId="167" fontId="6" fillId="2" borderId="5" xfId="1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/>
      <protection locked="0"/>
    </xf>
    <xf numFmtId="164" fontId="2" fillId="0" borderId="5" xfId="1" applyNumberFormat="1" applyFont="1" applyFill="1" applyBorder="1" applyAlignment="1" applyProtection="1">
      <alignment horizontal="center" vertical="top"/>
      <protection locked="0"/>
    </xf>
    <xf numFmtId="164" fontId="2" fillId="0" borderId="5" xfId="1" applyNumberFormat="1" applyFont="1" applyFill="1" applyBorder="1" applyAlignment="1" applyProtection="1">
      <alignment horizontal="center" vertical="top"/>
    </xf>
    <xf numFmtId="169" fontId="5" fillId="0" borderId="5" xfId="0" applyNumberFormat="1" applyFont="1" applyFill="1" applyBorder="1" applyAlignment="1">
      <alignment horizontal="left" vertical="center" wrapText="1"/>
    </xf>
    <xf numFmtId="165" fontId="2" fillId="0" borderId="5" xfId="2" applyNumberFormat="1" applyFont="1" applyFill="1" applyBorder="1" applyAlignment="1" applyProtection="1">
      <alignment horizontal="center" vertical="top"/>
    </xf>
    <xf numFmtId="0" fontId="2" fillId="0" borderId="5" xfId="0" applyFont="1" applyFill="1" applyBorder="1" applyAlignment="1" applyProtection="1">
      <alignment horizontal="center" vertical="top"/>
      <protection locked="0"/>
    </xf>
    <xf numFmtId="167" fontId="2" fillId="0" borderId="5" xfId="1" applyNumberFormat="1" applyFont="1" applyFill="1" applyBorder="1" applyAlignment="1" applyProtection="1">
      <alignment horizontal="center" vertical="top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8" fontId="2" fillId="0" borderId="5" xfId="1" applyNumberFormat="1" applyFont="1" applyFill="1" applyBorder="1" applyAlignment="1" applyProtection="1">
      <alignment horizontal="center" vertical="center"/>
      <protection locked="0"/>
    </xf>
    <xf numFmtId="167" fontId="2" fillId="0" borderId="5" xfId="1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  <protection locked="0"/>
    </xf>
    <xf numFmtId="4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9" fontId="2" fillId="2" borderId="1" xfId="0" applyNumberFormat="1" applyFont="1" applyFill="1" applyBorder="1" applyAlignment="1" applyProtection="1">
      <alignment horizontal="center" vertical="top" wrapText="1"/>
      <protection locked="0"/>
    </xf>
    <xf numFmtId="9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right" vertical="top" wrapText="1"/>
      <protection locked="0"/>
    </xf>
    <xf numFmtId="0" fontId="9" fillId="2" borderId="0" xfId="0" applyFont="1" applyFill="1" applyAlignment="1" applyProtection="1">
      <alignment horizontal="right" vertical="top" wrapText="1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164" fontId="2" fillId="2" borderId="1" xfId="1" applyNumberFormat="1" applyFont="1" applyFill="1" applyBorder="1" applyAlignment="1" applyProtection="1">
      <alignment horizontal="left" vertical="top" wrapText="1"/>
      <protection locked="0"/>
    </xf>
    <xf numFmtId="164" fontId="2" fillId="2" borderId="7" xfId="1" applyNumberFormat="1" applyFont="1" applyFill="1" applyBorder="1" applyAlignment="1" applyProtection="1">
      <alignment horizontal="left" vertical="top" wrapText="1"/>
      <protection locked="0"/>
    </xf>
    <xf numFmtId="164" fontId="2" fillId="2" borderId="4" xfId="1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167" fontId="2" fillId="2" borderId="5" xfId="1" applyNumberFormat="1" applyFont="1" applyFill="1" applyBorder="1" applyAlignment="1" applyProtection="1">
      <alignment horizontal="center" vertical="center"/>
      <protection locked="0"/>
    </xf>
    <xf numFmtId="167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left" vertical="center" wrapText="1"/>
      <protection locked="0"/>
    </xf>
    <xf numFmtId="4" fontId="2" fillId="2" borderId="5" xfId="1" applyNumberFormat="1" applyFont="1" applyFill="1" applyBorder="1" applyAlignment="1" applyProtection="1">
      <alignment horizontal="center" vertical="center"/>
      <protection locked="0"/>
    </xf>
    <xf numFmtId="4" fontId="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67" fontId="6" fillId="2" borderId="5" xfId="1" applyNumberFormat="1" applyFont="1" applyFill="1" applyBorder="1" applyAlignment="1" applyProtection="1">
      <alignment horizontal="center" vertical="center"/>
    </xf>
    <xf numFmtId="167" fontId="6" fillId="0" borderId="5" xfId="1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</xf>
  </cellXfs>
  <cellStyles count="11">
    <cellStyle name="Ввод  2 5" xfId="4"/>
    <cellStyle name="ЗаголовокСтолбца" xfId="5"/>
    <cellStyle name="Обычный" xfId="0" builtinId="0"/>
    <cellStyle name="Обычный 2" xfId="6"/>
    <cellStyle name="Обычный 2 2" xfId="7"/>
    <cellStyle name="Обычный 3" xfId="8"/>
    <cellStyle name="Обычный 4" xfId="3"/>
    <cellStyle name="Процентный" xfId="2" builtinId="5"/>
    <cellStyle name="Процентный 2" xfId="10"/>
    <cellStyle name="Процентный 3" xfId="9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&#1069;&#1082;&#1086;&#1085;&#1086;&#1084;&#1080;&#1089;&#1090;&#1099;/&#1041;&#1072;&#1103;&#1085;&#1076;&#1072;&#1081;/&#1056;&#1072;&#1089;&#1095;&#1077;&#1090;&#1099;/&#1059;&#1096;&#1072;&#1082;&#1086;&#1074;&#1089;&#1082;&#1072;&#1103;%20&#1042;&#1057;%20&#1085;&#1072;%202016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&#1069;&#1082;&#1086;&#1085;&#1086;&#1084;&#1080;&#1089;&#1090;&#1099;/&#1041;&#1072;&#1103;&#1085;&#1076;&#1072;&#1081;/&#1041;&#1072;&#1103;&#1085;&#1076;&#1072;&#1081;/&#1041;&#1072;&#1103;&#1085;&#1076;&#1072;&#1081;%20&#1042;&#1053;&#1041;/&#1073;&#1072;&#1103;&#1085;&#1076;&#1072;&#1081;%20&#1074;&#1085;&#1073;%20&#1085;&#1072;%2018/&#1074;&#1089;&#1077;%20&#1088;&#1072;&#1089;&#1095;&#1077;&#1090;&#1099;%20&#1073;&#1072;&#1103;&#1085;&#1076;&#1072;&#1081;%20&#1074;&#1085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Лист1"/>
      <sheetName val="Водный налог"/>
      <sheetName val="Зарплата"/>
      <sheetName val="Контроль воды, ОТ и ТБ"/>
      <sheetName val="общехоз"/>
      <sheetName val="цеховые"/>
      <sheetName val="Цеховые БНА 2015"/>
      <sheetName val="Общехоз Пп2016"/>
      <sheetName val="ОбщехозБНА 2015"/>
      <sheetName val="Распределение Пп 2016"/>
      <sheetName val="Вода"/>
      <sheetName val="объемы ЭлЭн"/>
      <sheetName val="ЭЭ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G4">
            <v>10932.8713082699</v>
          </cell>
        </row>
        <row r="25">
          <cell r="H25">
            <v>7803.6186144578314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 числ-ть"/>
      <sheetName val="штатн. расп"/>
      <sheetName val="нормат чис-ть"/>
      <sheetName val="Ставки"/>
      <sheetName val="штатн. расп (ауп)"/>
      <sheetName val="свод"/>
      <sheetName val="с.связь"/>
      <sheetName val="спецод"/>
      <sheetName val="ГСМ"/>
      <sheetName val="Канцелярия"/>
      <sheetName val="Общехозяйстве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L16">
            <v>49.68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tabSelected="1" topLeftCell="A87" zoomScale="75" zoomScaleNormal="75" workbookViewId="0">
      <selection activeCell="O63" sqref="O63"/>
    </sheetView>
  </sheetViews>
  <sheetFormatPr defaultColWidth="0.85546875" defaultRowHeight="15" x14ac:dyDescent="0.25"/>
  <cols>
    <col min="1" max="1" width="14.7109375" style="30" customWidth="1"/>
    <col min="2" max="2" width="40.7109375" style="30" customWidth="1"/>
    <col min="3" max="3" width="12.85546875" style="30" customWidth="1"/>
    <col min="4" max="5" width="14.140625" style="30" hidden="1" customWidth="1"/>
    <col min="6" max="6" width="13.42578125" style="30" hidden="1" customWidth="1"/>
    <col min="7" max="7" width="14.85546875" style="30" hidden="1" customWidth="1"/>
    <col min="8" max="8" width="43.28515625" style="6" hidden="1" customWidth="1"/>
    <col min="9" max="9" width="13.42578125" style="30" customWidth="1"/>
    <col min="10" max="10" width="47" style="6" hidden="1" customWidth="1"/>
    <col min="11" max="11" width="14.42578125" style="56" hidden="1" customWidth="1"/>
    <col min="12" max="12" width="15.140625" style="30" hidden="1" customWidth="1"/>
    <col min="13" max="13" width="14.42578125" style="85" customWidth="1"/>
    <col min="14" max="14" width="24" style="30" customWidth="1"/>
    <col min="15" max="15" width="15.85546875" style="43" customWidth="1"/>
    <col min="16" max="16" width="54.28515625" style="75" customWidth="1"/>
    <col min="17" max="18" width="13.7109375" style="30" customWidth="1"/>
    <col min="19" max="19" width="11.7109375" style="30" customWidth="1"/>
    <col min="20" max="20" width="10.140625" style="30" customWidth="1"/>
    <col min="21" max="257" width="0.85546875" style="30"/>
    <col min="258" max="258" width="12" style="30" customWidth="1"/>
    <col min="259" max="259" width="58.5703125" style="30" customWidth="1"/>
    <col min="260" max="260" width="12.85546875" style="30" customWidth="1"/>
    <col min="261" max="265" width="0" style="30" hidden="1" customWidth="1"/>
    <col min="266" max="266" width="12.85546875" style="30" customWidth="1"/>
    <col min="267" max="269" width="0" style="30" hidden="1" customWidth="1"/>
    <col min="270" max="270" width="12.85546875" style="30" customWidth="1"/>
    <col min="271" max="271" width="0.85546875" style="30" customWidth="1"/>
    <col min="272" max="513" width="0.85546875" style="30"/>
    <col min="514" max="514" width="12" style="30" customWidth="1"/>
    <col min="515" max="515" width="58.5703125" style="30" customWidth="1"/>
    <col min="516" max="516" width="12.85546875" style="30" customWidth="1"/>
    <col min="517" max="521" width="0" style="30" hidden="1" customWidth="1"/>
    <col min="522" max="522" width="12.85546875" style="30" customWidth="1"/>
    <col min="523" max="525" width="0" style="30" hidden="1" customWidth="1"/>
    <col min="526" max="526" width="12.85546875" style="30" customWidth="1"/>
    <col min="527" max="527" width="0.85546875" style="30" customWidth="1"/>
    <col min="528" max="769" width="0.85546875" style="30"/>
    <col min="770" max="770" width="12" style="30" customWidth="1"/>
    <col min="771" max="771" width="58.5703125" style="30" customWidth="1"/>
    <col min="772" max="772" width="12.85546875" style="30" customWidth="1"/>
    <col min="773" max="777" width="0" style="30" hidden="1" customWidth="1"/>
    <col min="778" max="778" width="12.85546875" style="30" customWidth="1"/>
    <col min="779" max="781" width="0" style="30" hidden="1" customWidth="1"/>
    <col min="782" max="782" width="12.85546875" style="30" customWidth="1"/>
    <col min="783" max="783" width="0.85546875" style="30" customWidth="1"/>
    <col min="784" max="1025" width="0.85546875" style="30"/>
    <col min="1026" max="1026" width="12" style="30" customWidth="1"/>
    <col min="1027" max="1027" width="58.5703125" style="30" customWidth="1"/>
    <col min="1028" max="1028" width="12.85546875" style="30" customWidth="1"/>
    <col min="1029" max="1033" width="0" style="30" hidden="1" customWidth="1"/>
    <col min="1034" max="1034" width="12.85546875" style="30" customWidth="1"/>
    <col min="1035" max="1037" width="0" style="30" hidden="1" customWidth="1"/>
    <col min="1038" max="1038" width="12.85546875" style="30" customWidth="1"/>
    <col min="1039" max="1039" width="0.85546875" style="30" customWidth="1"/>
    <col min="1040" max="1281" width="0.85546875" style="30"/>
    <col min="1282" max="1282" width="12" style="30" customWidth="1"/>
    <col min="1283" max="1283" width="58.5703125" style="30" customWidth="1"/>
    <col min="1284" max="1284" width="12.85546875" style="30" customWidth="1"/>
    <col min="1285" max="1289" width="0" style="30" hidden="1" customWidth="1"/>
    <col min="1290" max="1290" width="12.85546875" style="30" customWidth="1"/>
    <col min="1291" max="1293" width="0" style="30" hidden="1" customWidth="1"/>
    <col min="1294" max="1294" width="12.85546875" style="30" customWidth="1"/>
    <col min="1295" max="1295" width="0.85546875" style="30" customWidth="1"/>
    <col min="1296" max="1537" width="0.85546875" style="30"/>
    <col min="1538" max="1538" width="12" style="30" customWidth="1"/>
    <col min="1539" max="1539" width="58.5703125" style="30" customWidth="1"/>
    <col min="1540" max="1540" width="12.85546875" style="30" customWidth="1"/>
    <col min="1541" max="1545" width="0" style="30" hidden="1" customWidth="1"/>
    <col min="1546" max="1546" width="12.85546875" style="30" customWidth="1"/>
    <col min="1547" max="1549" width="0" style="30" hidden="1" customWidth="1"/>
    <col min="1550" max="1550" width="12.85546875" style="30" customWidth="1"/>
    <col min="1551" max="1551" width="0.85546875" style="30" customWidth="1"/>
    <col min="1552" max="1793" width="0.85546875" style="30"/>
    <col min="1794" max="1794" width="12" style="30" customWidth="1"/>
    <col min="1795" max="1795" width="58.5703125" style="30" customWidth="1"/>
    <col min="1796" max="1796" width="12.85546875" style="30" customWidth="1"/>
    <col min="1797" max="1801" width="0" style="30" hidden="1" customWidth="1"/>
    <col min="1802" max="1802" width="12.85546875" style="30" customWidth="1"/>
    <col min="1803" max="1805" width="0" style="30" hidden="1" customWidth="1"/>
    <col min="1806" max="1806" width="12.85546875" style="30" customWidth="1"/>
    <col min="1807" max="1807" width="0.85546875" style="30" customWidth="1"/>
    <col min="1808" max="2049" width="0.85546875" style="30"/>
    <col min="2050" max="2050" width="12" style="30" customWidth="1"/>
    <col min="2051" max="2051" width="58.5703125" style="30" customWidth="1"/>
    <col min="2052" max="2052" width="12.85546875" style="30" customWidth="1"/>
    <col min="2053" max="2057" width="0" style="30" hidden="1" customWidth="1"/>
    <col min="2058" max="2058" width="12.85546875" style="30" customWidth="1"/>
    <col min="2059" max="2061" width="0" style="30" hidden="1" customWidth="1"/>
    <col min="2062" max="2062" width="12.85546875" style="30" customWidth="1"/>
    <col min="2063" max="2063" width="0.85546875" style="30" customWidth="1"/>
    <col min="2064" max="2305" width="0.85546875" style="30"/>
    <col min="2306" max="2306" width="12" style="30" customWidth="1"/>
    <col min="2307" max="2307" width="58.5703125" style="30" customWidth="1"/>
    <col min="2308" max="2308" width="12.85546875" style="30" customWidth="1"/>
    <col min="2309" max="2313" width="0" style="30" hidden="1" customWidth="1"/>
    <col min="2314" max="2314" width="12.85546875" style="30" customWidth="1"/>
    <col min="2315" max="2317" width="0" style="30" hidden="1" customWidth="1"/>
    <col min="2318" max="2318" width="12.85546875" style="30" customWidth="1"/>
    <col min="2319" max="2319" width="0.85546875" style="30" customWidth="1"/>
    <col min="2320" max="2561" width="0.85546875" style="30"/>
    <col min="2562" max="2562" width="12" style="30" customWidth="1"/>
    <col min="2563" max="2563" width="58.5703125" style="30" customWidth="1"/>
    <col min="2564" max="2564" width="12.85546875" style="30" customWidth="1"/>
    <col min="2565" max="2569" width="0" style="30" hidden="1" customWidth="1"/>
    <col min="2570" max="2570" width="12.85546875" style="30" customWidth="1"/>
    <col min="2571" max="2573" width="0" style="30" hidden="1" customWidth="1"/>
    <col min="2574" max="2574" width="12.85546875" style="30" customWidth="1"/>
    <col min="2575" max="2575" width="0.85546875" style="30" customWidth="1"/>
    <col min="2576" max="2817" width="0.85546875" style="30"/>
    <col min="2818" max="2818" width="12" style="30" customWidth="1"/>
    <col min="2819" max="2819" width="58.5703125" style="30" customWidth="1"/>
    <col min="2820" max="2820" width="12.85546875" style="30" customWidth="1"/>
    <col min="2821" max="2825" width="0" style="30" hidden="1" customWidth="1"/>
    <col min="2826" max="2826" width="12.85546875" style="30" customWidth="1"/>
    <col min="2827" max="2829" width="0" style="30" hidden="1" customWidth="1"/>
    <col min="2830" max="2830" width="12.85546875" style="30" customWidth="1"/>
    <col min="2831" max="2831" width="0.85546875" style="30" customWidth="1"/>
    <col min="2832" max="3073" width="0.85546875" style="30"/>
    <col min="3074" max="3074" width="12" style="30" customWidth="1"/>
    <col min="3075" max="3075" width="58.5703125" style="30" customWidth="1"/>
    <col min="3076" max="3076" width="12.85546875" style="30" customWidth="1"/>
    <col min="3077" max="3081" width="0" style="30" hidden="1" customWidth="1"/>
    <col min="3082" max="3082" width="12.85546875" style="30" customWidth="1"/>
    <col min="3083" max="3085" width="0" style="30" hidden="1" customWidth="1"/>
    <col min="3086" max="3086" width="12.85546875" style="30" customWidth="1"/>
    <col min="3087" max="3087" width="0.85546875" style="30" customWidth="1"/>
    <col min="3088" max="3329" width="0.85546875" style="30"/>
    <col min="3330" max="3330" width="12" style="30" customWidth="1"/>
    <col min="3331" max="3331" width="58.5703125" style="30" customWidth="1"/>
    <col min="3332" max="3332" width="12.85546875" style="30" customWidth="1"/>
    <col min="3333" max="3337" width="0" style="30" hidden="1" customWidth="1"/>
    <col min="3338" max="3338" width="12.85546875" style="30" customWidth="1"/>
    <col min="3339" max="3341" width="0" style="30" hidden="1" customWidth="1"/>
    <col min="3342" max="3342" width="12.85546875" style="30" customWidth="1"/>
    <col min="3343" max="3343" width="0.85546875" style="30" customWidth="1"/>
    <col min="3344" max="3585" width="0.85546875" style="30"/>
    <col min="3586" max="3586" width="12" style="30" customWidth="1"/>
    <col min="3587" max="3587" width="58.5703125" style="30" customWidth="1"/>
    <col min="3588" max="3588" width="12.85546875" style="30" customWidth="1"/>
    <col min="3589" max="3593" width="0" style="30" hidden="1" customWidth="1"/>
    <col min="3594" max="3594" width="12.85546875" style="30" customWidth="1"/>
    <col min="3595" max="3597" width="0" style="30" hidden="1" customWidth="1"/>
    <col min="3598" max="3598" width="12.85546875" style="30" customWidth="1"/>
    <col min="3599" max="3599" width="0.85546875" style="30" customWidth="1"/>
    <col min="3600" max="3841" width="0.85546875" style="30"/>
    <col min="3842" max="3842" width="12" style="30" customWidth="1"/>
    <col min="3843" max="3843" width="58.5703125" style="30" customWidth="1"/>
    <col min="3844" max="3844" width="12.85546875" style="30" customWidth="1"/>
    <col min="3845" max="3849" width="0" style="30" hidden="1" customWidth="1"/>
    <col min="3850" max="3850" width="12.85546875" style="30" customWidth="1"/>
    <col min="3851" max="3853" width="0" style="30" hidden="1" customWidth="1"/>
    <col min="3854" max="3854" width="12.85546875" style="30" customWidth="1"/>
    <col min="3855" max="3855" width="0.85546875" style="30" customWidth="1"/>
    <col min="3856" max="4097" width="0.85546875" style="30"/>
    <col min="4098" max="4098" width="12" style="30" customWidth="1"/>
    <col min="4099" max="4099" width="58.5703125" style="30" customWidth="1"/>
    <col min="4100" max="4100" width="12.85546875" style="30" customWidth="1"/>
    <col min="4101" max="4105" width="0" style="30" hidden="1" customWidth="1"/>
    <col min="4106" max="4106" width="12.85546875" style="30" customWidth="1"/>
    <col min="4107" max="4109" width="0" style="30" hidden="1" customWidth="1"/>
    <col min="4110" max="4110" width="12.85546875" style="30" customWidth="1"/>
    <col min="4111" max="4111" width="0.85546875" style="30" customWidth="1"/>
    <col min="4112" max="4353" width="0.85546875" style="30"/>
    <col min="4354" max="4354" width="12" style="30" customWidth="1"/>
    <col min="4355" max="4355" width="58.5703125" style="30" customWidth="1"/>
    <col min="4356" max="4356" width="12.85546875" style="30" customWidth="1"/>
    <col min="4357" max="4361" width="0" style="30" hidden="1" customWidth="1"/>
    <col min="4362" max="4362" width="12.85546875" style="30" customWidth="1"/>
    <col min="4363" max="4365" width="0" style="30" hidden="1" customWidth="1"/>
    <col min="4366" max="4366" width="12.85546875" style="30" customWidth="1"/>
    <col min="4367" max="4367" width="0.85546875" style="30" customWidth="1"/>
    <col min="4368" max="4609" width="0.85546875" style="30"/>
    <col min="4610" max="4610" width="12" style="30" customWidth="1"/>
    <col min="4611" max="4611" width="58.5703125" style="30" customWidth="1"/>
    <col min="4612" max="4612" width="12.85546875" style="30" customWidth="1"/>
    <col min="4613" max="4617" width="0" style="30" hidden="1" customWidth="1"/>
    <col min="4618" max="4618" width="12.85546875" style="30" customWidth="1"/>
    <col min="4619" max="4621" width="0" style="30" hidden="1" customWidth="1"/>
    <col min="4622" max="4622" width="12.85546875" style="30" customWidth="1"/>
    <col min="4623" max="4623" width="0.85546875" style="30" customWidth="1"/>
    <col min="4624" max="4865" width="0.85546875" style="30"/>
    <col min="4866" max="4866" width="12" style="30" customWidth="1"/>
    <col min="4867" max="4867" width="58.5703125" style="30" customWidth="1"/>
    <col min="4868" max="4868" width="12.85546875" style="30" customWidth="1"/>
    <col min="4869" max="4873" width="0" style="30" hidden="1" customWidth="1"/>
    <col min="4874" max="4874" width="12.85546875" style="30" customWidth="1"/>
    <col min="4875" max="4877" width="0" style="30" hidden="1" customWidth="1"/>
    <col min="4878" max="4878" width="12.85546875" style="30" customWidth="1"/>
    <col min="4879" max="4879" width="0.85546875" style="30" customWidth="1"/>
    <col min="4880" max="5121" width="0.85546875" style="30"/>
    <col min="5122" max="5122" width="12" style="30" customWidth="1"/>
    <col min="5123" max="5123" width="58.5703125" style="30" customWidth="1"/>
    <col min="5124" max="5124" width="12.85546875" style="30" customWidth="1"/>
    <col min="5125" max="5129" width="0" style="30" hidden="1" customWidth="1"/>
    <col min="5130" max="5130" width="12.85546875" style="30" customWidth="1"/>
    <col min="5131" max="5133" width="0" style="30" hidden="1" customWidth="1"/>
    <col min="5134" max="5134" width="12.85546875" style="30" customWidth="1"/>
    <col min="5135" max="5135" width="0.85546875" style="30" customWidth="1"/>
    <col min="5136" max="5377" width="0.85546875" style="30"/>
    <col min="5378" max="5378" width="12" style="30" customWidth="1"/>
    <col min="5379" max="5379" width="58.5703125" style="30" customWidth="1"/>
    <col min="5380" max="5380" width="12.85546875" style="30" customWidth="1"/>
    <col min="5381" max="5385" width="0" style="30" hidden="1" customWidth="1"/>
    <col min="5386" max="5386" width="12.85546875" style="30" customWidth="1"/>
    <col min="5387" max="5389" width="0" style="30" hidden="1" customWidth="1"/>
    <col min="5390" max="5390" width="12.85546875" style="30" customWidth="1"/>
    <col min="5391" max="5391" width="0.85546875" style="30" customWidth="1"/>
    <col min="5392" max="5633" width="0.85546875" style="30"/>
    <col min="5634" max="5634" width="12" style="30" customWidth="1"/>
    <col min="5635" max="5635" width="58.5703125" style="30" customWidth="1"/>
    <col min="5636" max="5636" width="12.85546875" style="30" customWidth="1"/>
    <col min="5637" max="5641" width="0" style="30" hidden="1" customWidth="1"/>
    <col min="5642" max="5642" width="12.85546875" style="30" customWidth="1"/>
    <col min="5643" max="5645" width="0" style="30" hidden="1" customWidth="1"/>
    <col min="5646" max="5646" width="12.85546875" style="30" customWidth="1"/>
    <col min="5647" max="5647" width="0.85546875" style="30" customWidth="1"/>
    <col min="5648" max="5889" width="0.85546875" style="30"/>
    <col min="5890" max="5890" width="12" style="30" customWidth="1"/>
    <col min="5891" max="5891" width="58.5703125" style="30" customWidth="1"/>
    <col min="5892" max="5892" width="12.85546875" style="30" customWidth="1"/>
    <col min="5893" max="5897" width="0" style="30" hidden="1" customWidth="1"/>
    <col min="5898" max="5898" width="12.85546875" style="30" customWidth="1"/>
    <col min="5899" max="5901" width="0" style="30" hidden="1" customWidth="1"/>
    <col min="5902" max="5902" width="12.85546875" style="30" customWidth="1"/>
    <col min="5903" max="5903" width="0.85546875" style="30" customWidth="1"/>
    <col min="5904" max="6145" width="0.85546875" style="30"/>
    <col min="6146" max="6146" width="12" style="30" customWidth="1"/>
    <col min="6147" max="6147" width="58.5703125" style="30" customWidth="1"/>
    <col min="6148" max="6148" width="12.85546875" style="30" customWidth="1"/>
    <col min="6149" max="6153" width="0" style="30" hidden="1" customWidth="1"/>
    <col min="6154" max="6154" width="12.85546875" style="30" customWidth="1"/>
    <col min="6155" max="6157" width="0" style="30" hidden="1" customWidth="1"/>
    <col min="6158" max="6158" width="12.85546875" style="30" customWidth="1"/>
    <col min="6159" max="6159" width="0.85546875" style="30" customWidth="1"/>
    <col min="6160" max="6401" width="0.85546875" style="30"/>
    <col min="6402" max="6402" width="12" style="30" customWidth="1"/>
    <col min="6403" max="6403" width="58.5703125" style="30" customWidth="1"/>
    <col min="6404" max="6404" width="12.85546875" style="30" customWidth="1"/>
    <col min="6405" max="6409" width="0" style="30" hidden="1" customWidth="1"/>
    <col min="6410" max="6410" width="12.85546875" style="30" customWidth="1"/>
    <col min="6411" max="6413" width="0" style="30" hidden="1" customWidth="1"/>
    <col min="6414" max="6414" width="12.85546875" style="30" customWidth="1"/>
    <col min="6415" max="6415" width="0.85546875" style="30" customWidth="1"/>
    <col min="6416" max="6657" width="0.85546875" style="30"/>
    <col min="6658" max="6658" width="12" style="30" customWidth="1"/>
    <col min="6659" max="6659" width="58.5703125" style="30" customWidth="1"/>
    <col min="6660" max="6660" width="12.85546875" style="30" customWidth="1"/>
    <col min="6661" max="6665" width="0" style="30" hidden="1" customWidth="1"/>
    <col min="6666" max="6666" width="12.85546875" style="30" customWidth="1"/>
    <col min="6667" max="6669" width="0" style="30" hidden="1" customWidth="1"/>
    <col min="6670" max="6670" width="12.85546875" style="30" customWidth="1"/>
    <col min="6671" max="6671" width="0.85546875" style="30" customWidth="1"/>
    <col min="6672" max="6913" width="0.85546875" style="30"/>
    <col min="6914" max="6914" width="12" style="30" customWidth="1"/>
    <col min="6915" max="6915" width="58.5703125" style="30" customWidth="1"/>
    <col min="6916" max="6916" width="12.85546875" style="30" customWidth="1"/>
    <col min="6917" max="6921" width="0" style="30" hidden="1" customWidth="1"/>
    <col min="6922" max="6922" width="12.85546875" style="30" customWidth="1"/>
    <col min="6923" max="6925" width="0" style="30" hidden="1" customWidth="1"/>
    <col min="6926" max="6926" width="12.85546875" style="30" customWidth="1"/>
    <col min="6927" max="6927" width="0.85546875" style="30" customWidth="1"/>
    <col min="6928" max="7169" width="0.85546875" style="30"/>
    <col min="7170" max="7170" width="12" style="30" customWidth="1"/>
    <col min="7171" max="7171" width="58.5703125" style="30" customWidth="1"/>
    <col min="7172" max="7172" width="12.85546875" style="30" customWidth="1"/>
    <col min="7173" max="7177" width="0" style="30" hidden="1" customWidth="1"/>
    <col min="7178" max="7178" width="12.85546875" style="30" customWidth="1"/>
    <col min="7179" max="7181" width="0" style="30" hidden="1" customWidth="1"/>
    <col min="7182" max="7182" width="12.85546875" style="30" customWidth="1"/>
    <col min="7183" max="7183" width="0.85546875" style="30" customWidth="1"/>
    <col min="7184" max="7425" width="0.85546875" style="30"/>
    <col min="7426" max="7426" width="12" style="30" customWidth="1"/>
    <col min="7427" max="7427" width="58.5703125" style="30" customWidth="1"/>
    <col min="7428" max="7428" width="12.85546875" style="30" customWidth="1"/>
    <col min="7429" max="7433" width="0" style="30" hidden="1" customWidth="1"/>
    <col min="7434" max="7434" width="12.85546875" style="30" customWidth="1"/>
    <col min="7435" max="7437" width="0" style="30" hidden="1" customWidth="1"/>
    <col min="7438" max="7438" width="12.85546875" style="30" customWidth="1"/>
    <col min="7439" max="7439" width="0.85546875" style="30" customWidth="1"/>
    <col min="7440" max="7681" width="0.85546875" style="30"/>
    <col min="7682" max="7682" width="12" style="30" customWidth="1"/>
    <col min="7683" max="7683" width="58.5703125" style="30" customWidth="1"/>
    <col min="7684" max="7684" width="12.85546875" style="30" customWidth="1"/>
    <col min="7685" max="7689" width="0" style="30" hidden="1" customWidth="1"/>
    <col min="7690" max="7690" width="12.85546875" style="30" customWidth="1"/>
    <col min="7691" max="7693" width="0" style="30" hidden="1" customWidth="1"/>
    <col min="7694" max="7694" width="12.85546875" style="30" customWidth="1"/>
    <col min="7695" max="7695" width="0.85546875" style="30" customWidth="1"/>
    <col min="7696" max="7937" width="0.85546875" style="30"/>
    <col min="7938" max="7938" width="12" style="30" customWidth="1"/>
    <col min="7939" max="7939" width="58.5703125" style="30" customWidth="1"/>
    <col min="7940" max="7940" width="12.85546875" style="30" customWidth="1"/>
    <col min="7941" max="7945" width="0" style="30" hidden="1" customWidth="1"/>
    <col min="7946" max="7946" width="12.85546875" style="30" customWidth="1"/>
    <col min="7947" max="7949" width="0" style="30" hidden="1" customWidth="1"/>
    <col min="7950" max="7950" width="12.85546875" style="30" customWidth="1"/>
    <col min="7951" max="7951" width="0.85546875" style="30" customWidth="1"/>
    <col min="7952" max="8193" width="0.85546875" style="30"/>
    <col min="8194" max="8194" width="12" style="30" customWidth="1"/>
    <col min="8195" max="8195" width="58.5703125" style="30" customWidth="1"/>
    <col min="8196" max="8196" width="12.85546875" style="30" customWidth="1"/>
    <col min="8197" max="8201" width="0" style="30" hidden="1" customWidth="1"/>
    <col min="8202" max="8202" width="12.85546875" style="30" customWidth="1"/>
    <col min="8203" max="8205" width="0" style="30" hidden="1" customWidth="1"/>
    <col min="8206" max="8206" width="12.85546875" style="30" customWidth="1"/>
    <col min="8207" max="8207" width="0.85546875" style="30" customWidth="1"/>
    <col min="8208" max="8449" width="0.85546875" style="30"/>
    <col min="8450" max="8450" width="12" style="30" customWidth="1"/>
    <col min="8451" max="8451" width="58.5703125" style="30" customWidth="1"/>
    <col min="8452" max="8452" width="12.85546875" style="30" customWidth="1"/>
    <col min="8453" max="8457" width="0" style="30" hidden="1" customWidth="1"/>
    <col min="8458" max="8458" width="12.85546875" style="30" customWidth="1"/>
    <col min="8459" max="8461" width="0" style="30" hidden="1" customWidth="1"/>
    <col min="8462" max="8462" width="12.85546875" style="30" customWidth="1"/>
    <col min="8463" max="8463" width="0.85546875" style="30" customWidth="1"/>
    <col min="8464" max="8705" width="0.85546875" style="30"/>
    <col min="8706" max="8706" width="12" style="30" customWidth="1"/>
    <col min="8707" max="8707" width="58.5703125" style="30" customWidth="1"/>
    <col min="8708" max="8708" width="12.85546875" style="30" customWidth="1"/>
    <col min="8709" max="8713" width="0" style="30" hidden="1" customWidth="1"/>
    <col min="8714" max="8714" width="12.85546875" style="30" customWidth="1"/>
    <col min="8715" max="8717" width="0" style="30" hidden="1" customWidth="1"/>
    <col min="8718" max="8718" width="12.85546875" style="30" customWidth="1"/>
    <col min="8719" max="8719" width="0.85546875" style="30" customWidth="1"/>
    <col min="8720" max="8961" width="0.85546875" style="30"/>
    <col min="8962" max="8962" width="12" style="30" customWidth="1"/>
    <col min="8963" max="8963" width="58.5703125" style="30" customWidth="1"/>
    <col min="8964" max="8964" width="12.85546875" style="30" customWidth="1"/>
    <col min="8965" max="8969" width="0" style="30" hidden="1" customWidth="1"/>
    <col min="8970" max="8970" width="12.85546875" style="30" customWidth="1"/>
    <col min="8971" max="8973" width="0" style="30" hidden="1" customWidth="1"/>
    <col min="8974" max="8974" width="12.85546875" style="30" customWidth="1"/>
    <col min="8975" max="8975" width="0.85546875" style="30" customWidth="1"/>
    <col min="8976" max="9217" width="0.85546875" style="30"/>
    <col min="9218" max="9218" width="12" style="30" customWidth="1"/>
    <col min="9219" max="9219" width="58.5703125" style="30" customWidth="1"/>
    <col min="9220" max="9220" width="12.85546875" style="30" customWidth="1"/>
    <col min="9221" max="9225" width="0" style="30" hidden="1" customWidth="1"/>
    <col min="9226" max="9226" width="12.85546875" style="30" customWidth="1"/>
    <col min="9227" max="9229" width="0" style="30" hidden="1" customWidth="1"/>
    <col min="9230" max="9230" width="12.85546875" style="30" customWidth="1"/>
    <col min="9231" max="9231" width="0.85546875" style="30" customWidth="1"/>
    <col min="9232" max="9473" width="0.85546875" style="30"/>
    <col min="9474" max="9474" width="12" style="30" customWidth="1"/>
    <col min="9475" max="9475" width="58.5703125" style="30" customWidth="1"/>
    <col min="9476" max="9476" width="12.85546875" style="30" customWidth="1"/>
    <col min="9477" max="9481" width="0" style="30" hidden="1" customWidth="1"/>
    <col min="9482" max="9482" width="12.85546875" style="30" customWidth="1"/>
    <col min="9483" max="9485" width="0" style="30" hidden="1" customWidth="1"/>
    <col min="9486" max="9486" width="12.85546875" style="30" customWidth="1"/>
    <col min="9487" max="9487" width="0.85546875" style="30" customWidth="1"/>
    <col min="9488" max="9729" width="0.85546875" style="30"/>
    <col min="9730" max="9730" width="12" style="30" customWidth="1"/>
    <col min="9731" max="9731" width="58.5703125" style="30" customWidth="1"/>
    <col min="9732" max="9732" width="12.85546875" style="30" customWidth="1"/>
    <col min="9733" max="9737" width="0" style="30" hidden="1" customWidth="1"/>
    <col min="9738" max="9738" width="12.85546875" style="30" customWidth="1"/>
    <col min="9739" max="9741" width="0" style="30" hidden="1" customWidth="1"/>
    <col min="9742" max="9742" width="12.85546875" style="30" customWidth="1"/>
    <col min="9743" max="9743" width="0.85546875" style="30" customWidth="1"/>
    <col min="9744" max="9985" width="0.85546875" style="30"/>
    <col min="9986" max="9986" width="12" style="30" customWidth="1"/>
    <col min="9987" max="9987" width="58.5703125" style="30" customWidth="1"/>
    <col min="9988" max="9988" width="12.85546875" style="30" customWidth="1"/>
    <col min="9989" max="9993" width="0" style="30" hidden="1" customWidth="1"/>
    <col min="9994" max="9994" width="12.85546875" style="30" customWidth="1"/>
    <col min="9995" max="9997" width="0" style="30" hidden="1" customWidth="1"/>
    <col min="9998" max="9998" width="12.85546875" style="30" customWidth="1"/>
    <col min="9999" max="9999" width="0.85546875" style="30" customWidth="1"/>
    <col min="10000" max="10241" width="0.85546875" style="30"/>
    <col min="10242" max="10242" width="12" style="30" customWidth="1"/>
    <col min="10243" max="10243" width="58.5703125" style="30" customWidth="1"/>
    <col min="10244" max="10244" width="12.85546875" style="30" customWidth="1"/>
    <col min="10245" max="10249" width="0" style="30" hidden="1" customWidth="1"/>
    <col min="10250" max="10250" width="12.85546875" style="30" customWidth="1"/>
    <col min="10251" max="10253" width="0" style="30" hidden="1" customWidth="1"/>
    <col min="10254" max="10254" width="12.85546875" style="30" customWidth="1"/>
    <col min="10255" max="10255" width="0.85546875" style="30" customWidth="1"/>
    <col min="10256" max="10497" width="0.85546875" style="30"/>
    <col min="10498" max="10498" width="12" style="30" customWidth="1"/>
    <col min="10499" max="10499" width="58.5703125" style="30" customWidth="1"/>
    <col min="10500" max="10500" width="12.85546875" style="30" customWidth="1"/>
    <col min="10501" max="10505" width="0" style="30" hidden="1" customWidth="1"/>
    <col min="10506" max="10506" width="12.85546875" style="30" customWidth="1"/>
    <col min="10507" max="10509" width="0" style="30" hidden="1" customWidth="1"/>
    <col min="10510" max="10510" width="12.85546875" style="30" customWidth="1"/>
    <col min="10511" max="10511" width="0.85546875" style="30" customWidth="1"/>
    <col min="10512" max="10753" width="0.85546875" style="30"/>
    <col min="10754" max="10754" width="12" style="30" customWidth="1"/>
    <col min="10755" max="10755" width="58.5703125" style="30" customWidth="1"/>
    <col min="10756" max="10756" width="12.85546875" style="30" customWidth="1"/>
    <col min="10757" max="10761" width="0" style="30" hidden="1" customWidth="1"/>
    <col min="10762" max="10762" width="12.85546875" style="30" customWidth="1"/>
    <col min="10763" max="10765" width="0" style="30" hidden="1" customWidth="1"/>
    <col min="10766" max="10766" width="12.85546875" style="30" customWidth="1"/>
    <col min="10767" max="10767" width="0.85546875" style="30" customWidth="1"/>
    <col min="10768" max="11009" width="0.85546875" style="30"/>
    <col min="11010" max="11010" width="12" style="30" customWidth="1"/>
    <col min="11011" max="11011" width="58.5703125" style="30" customWidth="1"/>
    <col min="11012" max="11012" width="12.85546875" style="30" customWidth="1"/>
    <col min="11013" max="11017" width="0" style="30" hidden="1" customWidth="1"/>
    <col min="11018" max="11018" width="12.85546875" style="30" customWidth="1"/>
    <col min="11019" max="11021" width="0" style="30" hidden="1" customWidth="1"/>
    <col min="11022" max="11022" width="12.85546875" style="30" customWidth="1"/>
    <col min="11023" max="11023" width="0.85546875" style="30" customWidth="1"/>
    <col min="11024" max="11265" width="0.85546875" style="30"/>
    <col min="11266" max="11266" width="12" style="30" customWidth="1"/>
    <col min="11267" max="11267" width="58.5703125" style="30" customWidth="1"/>
    <col min="11268" max="11268" width="12.85546875" style="30" customWidth="1"/>
    <col min="11269" max="11273" width="0" style="30" hidden="1" customWidth="1"/>
    <col min="11274" max="11274" width="12.85546875" style="30" customWidth="1"/>
    <col min="11275" max="11277" width="0" style="30" hidden="1" customWidth="1"/>
    <col min="11278" max="11278" width="12.85546875" style="30" customWidth="1"/>
    <col min="11279" max="11279" width="0.85546875" style="30" customWidth="1"/>
    <col min="11280" max="11521" width="0.85546875" style="30"/>
    <col min="11522" max="11522" width="12" style="30" customWidth="1"/>
    <col min="11523" max="11523" width="58.5703125" style="30" customWidth="1"/>
    <col min="11524" max="11524" width="12.85546875" style="30" customWidth="1"/>
    <col min="11525" max="11529" width="0" style="30" hidden="1" customWidth="1"/>
    <col min="11530" max="11530" width="12.85546875" style="30" customWidth="1"/>
    <col min="11531" max="11533" width="0" style="30" hidden="1" customWidth="1"/>
    <col min="11534" max="11534" width="12.85546875" style="30" customWidth="1"/>
    <col min="11535" max="11535" width="0.85546875" style="30" customWidth="1"/>
    <col min="11536" max="11777" width="0.85546875" style="30"/>
    <col min="11778" max="11778" width="12" style="30" customWidth="1"/>
    <col min="11779" max="11779" width="58.5703125" style="30" customWidth="1"/>
    <col min="11780" max="11780" width="12.85546875" style="30" customWidth="1"/>
    <col min="11781" max="11785" width="0" style="30" hidden="1" customWidth="1"/>
    <col min="11786" max="11786" width="12.85546875" style="30" customWidth="1"/>
    <col min="11787" max="11789" width="0" style="30" hidden="1" customWidth="1"/>
    <col min="11790" max="11790" width="12.85546875" style="30" customWidth="1"/>
    <col min="11791" max="11791" width="0.85546875" style="30" customWidth="1"/>
    <col min="11792" max="12033" width="0.85546875" style="30"/>
    <col min="12034" max="12034" width="12" style="30" customWidth="1"/>
    <col min="12035" max="12035" width="58.5703125" style="30" customWidth="1"/>
    <col min="12036" max="12036" width="12.85546875" style="30" customWidth="1"/>
    <col min="12037" max="12041" width="0" style="30" hidden="1" customWidth="1"/>
    <col min="12042" max="12042" width="12.85546875" style="30" customWidth="1"/>
    <col min="12043" max="12045" width="0" style="30" hidden="1" customWidth="1"/>
    <col min="12046" max="12046" width="12.85546875" style="30" customWidth="1"/>
    <col min="12047" max="12047" width="0.85546875" style="30" customWidth="1"/>
    <col min="12048" max="12289" width="0.85546875" style="30"/>
    <col min="12290" max="12290" width="12" style="30" customWidth="1"/>
    <col min="12291" max="12291" width="58.5703125" style="30" customWidth="1"/>
    <col min="12292" max="12292" width="12.85546875" style="30" customWidth="1"/>
    <col min="12293" max="12297" width="0" style="30" hidden="1" customWidth="1"/>
    <col min="12298" max="12298" width="12.85546875" style="30" customWidth="1"/>
    <col min="12299" max="12301" width="0" style="30" hidden="1" customWidth="1"/>
    <col min="12302" max="12302" width="12.85546875" style="30" customWidth="1"/>
    <col min="12303" max="12303" width="0.85546875" style="30" customWidth="1"/>
    <col min="12304" max="12545" width="0.85546875" style="30"/>
    <col min="12546" max="12546" width="12" style="30" customWidth="1"/>
    <col min="12547" max="12547" width="58.5703125" style="30" customWidth="1"/>
    <col min="12548" max="12548" width="12.85546875" style="30" customWidth="1"/>
    <col min="12549" max="12553" width="0" style="30" hidden="1" customWidth="1"/>
    <col min="12554" max="12554" width="12.85546875" style="30" customWidth="1"/>
    <col min="12555" max="12557" width="0" style="30" hidden="1" customWidth="1"/>
    <col min="12558" max="12558" width="12.85546875" style="30" customWidth="1"/>
    <col min="12559" max="12559" width="0.85546875" style="30" customWidth="1"/>
    <col min="12560" max="12801" width="0.85546875" style="30"/>
    <col min="12802" max="12802" width="12" style="30" customWidth="1"/>
    <col min="12803" max="12803" width="58.5703125" style="30" customWidth="1"/>
    <col min="12804" max="12804" width="12.85546875" style="30" customWidth="1"/>
    <col min="12805" max="12809" width="0" style="30" hidden="1" customWidth="1"/>
    <col min="12810" max="12810" width="12.85546875" style="30" customWidth="1"/>
    <col min="12811" max="12813" width="0" style="30" hidden="1" customWidth="1"/>
    <col min="12814" max="12814" width="12.85546875" style="30" customWidth="1"/>
    <col min="12815" max="12815" width="0.85546875" style="30" customWidth="1"/>
    <col min="12816" max="13057" width="0.85546875" style="30"/>
    <col min="13058" max="13058" width="12" style="30" customWidth="1"/>
    <col min="13059" max="13059" width="58.5703125" style="30" customWidth="1"/>
    <col min="13060" max="13060" width="12.85546875" style="30" customWidth="1"/>
    <col min="13061" max="13065" width="0" style="30" hidden="1" customWidth="1"/>
    <col min="13066" max="13066" width="12.85546875" style="30" customWidth="1"/>
    <col min="13067" max="13069" width="0" style="30" hidden="1" customWidth="1"/>
    <col min="13070" max="13070" width="12.85546875" style="30" customWidth="1"/>
    <col min="13071" max="13071" width="0.85546875" style="30" customWidth="1"/>
    <col min="13072" max="13313" width="0.85546875" style="30"/>
    <col min="13314" max="13314" width="12" style="30" customWidth="1"/>
    <col min="13315" max="13315" width="58.5703125" style="30" customWidth="1"/>
    <col min="13316" max="13316" width="12.85546875" style="30" customWidth="1"/>
    <col min="13317" max="13321" width="0" style="30" hidden="1" customWidth="1"/>
    <col min="13322" max="13322" width="12.85546875" style="30" customWidth="1"/>
    <col min="13323" max="13325" width="0" style="30" hidden="1" customWidth="1"/>
    <col min="13326" max="13326" width="12.85546875" style="30" customWidth="1"/>
    <col min="13327" max="13327" width="0.85546875" style="30" customWidth="1"/>
    <col min="13328" max="13569" width="0.85546875" style="30"/>
    <col min="13570" max="13570" width="12" style="30" customWidth="1"/>
    <col min="13571" max="13571" width="58.5703125" style="30" customWidth="1"/>
    <col min="13572" max="13572" width="12.85546875" style="30" customWidth="1"/>
    <col min="13573" max="13577" width="0" style="30" hidden="1" customWidth="1"/>
    <col min="13578" max="13578" width="12.85546875" style="30" customWidth="1"/>
    <col min="13579" max="13581" width="0" style="30" hidden="1" customWidth="1"/>
    <col min="13582" max="13582" width="12.85546875" style="30" customWidth="1"/>
    <col min="13583" max="13583" width="0.85546875" style="30" customWidth="1"/>
    <col min="13584" max="13825" width="0.85546875" style="30"/>
    <col min="13826" max="13826" width="12" style="30" customWidth="1"/>
    <col min="13827" max="13827" width="58.5703125" style="30" customWidth="1"/>
    <col min="13828" max="13828" width="12.85546875" style="30" customWidth="1"/>
    <col min="13829" max="13833" width="0" style="30" hidden="1" customWidth="1"/>
    <col min="13834" max="13834" width="12.85546875" style="30" customWidth="1"/>
    <col min="13835" max="13837" width="0" style="30" hidden="1" customWidth="1"/>
    <col min="13838" max="13838" width="12.85546875" style="30" customWidth="1"/>
    <col min="13839" max="13839" width="0.85546875" style="30" customWidth="1"/>
    <col min="13840" max="14081" width="0.85546875" style="30"/>
    <col min="14082" max="14082" width="12" style="30" customWidth="1"/>
    <col min="14083" max="14083" width="58.5703125" style="30" customWidth="1"/>
    <col min="14084" max="14084" width="12.85546875" style="30" customWidth="1"/>
    <col min="14085" max="14089" width="0" style="30" hidden="1" customWidth="1"/>
    <col min="14090" max="14090" width="12.85546875" style="30" customWidth="1"/>
    <col min="14091" max="14093" width="0" style="30" hidden="1" customWidth="1"/>
    <col min="14094" max="14094" width="12.85546875" style="30" customWidth="1"/>
    <col min="14095" max="14095" width="0.85546875" style="30" customWidth="1"/>
    <col min="14096" max="14337" width="0.85546875" style="30"/>
    <col min="14338" max="14338" width="12" style="30" customWidth="1"/>
    <col min="14339" max="14339" width="58.5703125" style="30" customWidth="1"/>
    <col min="14340" max="14340" width="12.85546875" style="30" customWidth="1"/>
    <col min="14341" max="14345" width="0" style="30" hidden="1" customWidth="1"/>
    <col min="14346" max="14346" width="12.85546875" style="30" customWidth="1"/>
    <col min="14347" max="14349" width="0" style="30" hidden="1" customWidth="1"/>
    <col min="14350" max="14350" width="12.85546875" style="30" customWidth="1"/>
    <col min="14351" max="14351" width="0.85546875" style="30" customWidth="1"/>
    <col min="14352" max="14593" width="0.85546875" style="30"/>
    <col min="14594" max="14594" width="12" style="30" customWidth="1"/>
    <col min="14595" max="14595" width="58.5703125" style="30" customWidth="1"/>
    <col min="14596" max="14596" width="12.85546875" style="30" customWidth="1"/>
    <col min="14597" max="14601" width="0" style="30" hidden="1" customWidth="1"/>
    <col min="14602" max="14602" width="12.85546875" style="30" customWidth="1"/>
    <col min="14603" max="14605" width="0" style="30" hidden="1" customWidth="1"/>
    <col min="14606" max="14606" width="12.85546875" style="30" customWidth="1"/>
    <col min="14607" max="14607" width="0.85546875" style="30" customWidth="1"/>
    <col min="14608" max="14849" width="0.85546875" style="30"/>
    <col min="14850" max="14850" width="12" style="30" customWidth="1"/>
    <col min="14851" max="14851" width="58.5703125" style="30" customWidth="1"/>
    <col min="14852" max="14852" width="12.85546875" style="30" customWidth="1"/>
    <col min="14853" max="14857" width="0" style="30" hidden="1" customWidth="1"/>
    <col min="14858" max="14858" width="12.85546875" style="30" customWidth="1"/>
    <col min="14859" max="14861" width="0" style="30" hidden="1" customWidth="1"/>
    <col min="14862" max="14862" width="12.85546875" style="30" customWidth="1"/>
    <col min="14863" max="14863" width="0.85546875" style="30" customWidth="1"/>
    <col min="14864" max="15105" width="0.85546875" style="30"/>
    <col min="15106" max="15106" width="12" style="30" customWidth="1"/>
    <col min="15107" max="15107" width="58.5703125" style="30" customWidth="1"/>
    <col min="15108" max="15108" width="12.85546875" style="30" customWidth="1"/>
    <col min="15109" max="15113" width="0" style="30" hidden="1" customWidth="1"/>
    <col min="15114" max="15114" width="12.85546875" style="30" customWidth="1"/>
    <col min="15115" max="15117" width="0" style="30" hidden="1" customWidth="1"/>
    <col min="15118" max="15118" width="12.85546875" style="30" customWidth="1"/>
    <col min="15119" max="15119" width="0.85546875" style="30" customWidth="1"/>
    <col min="15120" max="15361" width="0.85546875" style="30"/>
    <col min="15362" max="15362" width="12" style="30" customWidth="1"/>
    <col min="15363" max="15363" width="58.5703125" style="30" customWidth="1"/>
    <col min="15364" max="15364" width="12.85546875" style="30" customWidth="1"/>
    <col min="15365" max="15369" width="0" style="30" hidden="1" customWidth="1"/>
    <col min="15370" max="15370" width="12.85546875" style="30" customWidth="1"/>
    <col min="15371" max="15373" width="0" style="30" hidden="1" customWidth="1"/>
    <col min="15374" max="15374" width="12.85546875" style="30" customWidth="1"/>
    <col min="15375" max="15375" width="0.85546875" style="30" customWidth="1"/>
    <col min="15376" max="15617" width="0.85546875" style="30"/>
    <col min="15618" max="15618" width="12" style="30" customWidth="1"/>
    <col min="15619" max="15619" width="58.5703125" style="30" customWidth="1"/>
    <col min="15620" max="15620" width="12.85546875" style="30" customWidth="1"/>
    <col min="15621" max="15625" width="0" style="30" hidden="1" customWidth="1"/>
    <col min="15626" max="15626" width="12.85546875" style="30" customWidth="1"/>
    <col min="15627" max="15629" width="0" style="30" hidden="1" customWidth="1"/>
    <col min="15630" max="15630" width="12.85546875" style="30" customWidth="1"/>
    <col min="15631" max="15631" width="0.85546875" style="30" customWidth="1"/>
    <col min="15632" max="15873" width="0.85546875" style="30"/>
    <col min="15874" max="15874" width="12" style="30" customWidth="1"/>
    <col min="15875" max="15875" width="58.5703125" style="30" customWidth="1"/>
    <col min="15876" max="15876" width="12.85546875" style="30" customWidth="1"/>
    <col min="15877" max="15881" width="0" style="30" hidden="1" customWidth="1"/>
    <col min="15882" max="15882" width="12.85546875" style="30" customWidth="1"/>
    <col min="15883" max="15885" width="0" style="30" hidden="1" customWidth="1"/>
    <col min="15886" max="15886" width="12.85546875" style="30" customWidth="1"/>
    <col min="15887" max="15887" width="0.85546875" style="30" customWidth="1"/>
    <col min="15888" max="16129" width="0.85546875" style="30"/>
    <col min="16130" max="16130" width="12" style="30" customWidth="1"/>
    <col min="16131" max="16131" width="58.5703125" style="30" customWidth="1"/>
    <col min="16132" max="16132" width="12.85546875" style="30" customWidth="1"/>
    <col min="16133" max="16137" width="0" style="30" hidden="1" customWidth="1"/>
    <col min="16138" max="16138" width="12.85546875" style="30" customWidth="1"/>
    <col min="16139" max="16141" width="0" style="30" hidden="1" customWidth="1"/>
    <col min="16142" max="16142" width="12.85546875" style="30" customWidth="1"/>
    <col min="16143" max="16143" width="0.85546875" style="30" customWidth="1"/>
    <col min="16144" max="16384" width="0.85546875" style="30"/>
  </cols>
  <sheetData>
    <row r="1" spans="1:19" ht="18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45" customFormat="1" ht="15" customHeight="1" x14ac:dyDescent="0.25">
      <c r="A2" s="88" t="s">
        <v>319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6" customFormat="1" ht="1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46" customFormat="1" ht="21" customHeight="1" x14ac:dyDescent="0.25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67.5" customHeight="1" x14ac:dyDescent="0.25">
      <c r="A5" s="90" t="s">
        <v>3</v>
      </c>
      <c r="B5" s="90" t="s">
        <v>4</v>
      </c>
      <c r="C5" s="90" t="s">
        <v>5</v>
      </c>
      <c r="D5" s="96" t="s">
        <v>6</v>
      </c>
      <c r="E5" s="97"/>
      <c r="F5" s="35" t="s">
        <v>7</v>
      </c>
      <c r="G5" s="90" t="s">
        <v>8</v>
      </c>
      <c r="H5" s="90" t="s">
        <v>9</v>
      </c>
      <c r="I5" s="90" t="s">
        <v>279</v>
      </c>
      <c r="J5" s="90" t="s">
        <v>10</v>
      </c>
      <c r="K5" s="92" t="s">
        <v>11</v>
      </c>
      <c r="L5" s="90">
        <v>2019</v>
      </c>
      <c r="M5" s="94" t="s">
        <v>280</v>
      </c>
      <c r="N5" s="102" t="s">
        <v>9</v>
      </c>
      <c r="O5" s="98" t="s">
        <v>309</v>
      </c>
      <c r="P5" s="100" t="s">
        <v>10</v>
      </c>
      <c r="Q5" s="47" t="s">
        <v>281</v>
      </c>
      <c r="R5" s="47" t="s">
        <v>282</v>
      </c>
      <c r="S5" s="47" t="s">
        <v>283</v>
      </c>
    </row>
    <row r="6" spans="1:19" ht="21" hidden="1" customHeight="1" x14ac:dyDescent="0.25">
      <c r="A6" s="91"/>
      <c r="B6" s="91"/>
      <c r="C6" s="91"/>
      <c r="D6" s="9" t="s">
        <v>12</v>
      </c>
      <c r="E6" s="9" t="s">
        <v>13</v>
      </c>
      <c r="F6" s="9" t="s">
        <v>12</v>
      </c>
      <c r="G6" s="91"/>
      <c r="H6" s="91"/>
      <c r="I6" s="91"/>
      <c r="J6" s="91"/>
      <c r="K6" s="93"/>
      <c r="L6" s="91"/>
      <c r="M6" s="95"/>
      <c r="N6" s="103"/>
      <c r="O6" s="99"/>
      <c r="P6" s="101"/>
      <c r="Q6" s="48"/>
      <c r="R6" s="48"/>
      <c r="S6" s="48"/>
    </row>
    <row r="7" spans="1:19" x14ac:dyDescent="0.25">
      <c r="A7" s="7"/>
      <c r="B7" s="106" t="s">
        <v>14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48"/>
      <c r="O7" s="40"/>
      <c r="P7" s="14"/>
      <c r="Q7" s="48"/>
      <c r="R7" s="48"/>
      <c r="S7" s="48"/>
    </row>
    <row r="8" spans="1:19" ht="20.25" customHeight="1" x14ac:dyDescent="0.25">
      <c r="A8" s="7" t="s">
        <v>15</v>
      </c>
      <c r="B8" s="1" t="s">
        <v>16</v>
      </c>
      <c r="C8" s="10" t="s">
        <v>17</v>
      </c>
      <c r="D8" s="11">
        <f>ROUND(D10,1)+ROUND(D11,1)-ROUND(D9,1)</f>
        <v>0</v>
      </c>
      <c r="E8" s="11">
        <f>ROUND(E10,1)+ROUND(E11,1)-MROUND(E9,1)</f>
        <v>0</v>
      </c>
      <c r="F8" s="11">
        <f>ROUND(F10,1)+ROUND(F11,1)-MROUND(F9,1)</f>
        <v>28800</v>
      </c>
      <c r="G8" s="11">
        <f>ROUND(G10,1)+ROUND(G11,1)-MROUND(G9,1)</f>
        <v>29878</v>
      </c>
      <c r="H8" s="109" t="s">
        <v>18</v>
      </c>
      <c r="I8" s="11">
        <f>ROUND(I10,1)+ROUND(I11,1)-MROUND(I9,1)</f>
        <v>29878</v>
      </c>
      <c r="J8" s="2" t="s">
        <v>19</v>
      </c>
      <c r="K8" s="49">
        <f>I8/F8</f>
        <v>1.0374305555555556</v>
      </c>
      <c r="L8" s="11">
        <f>I8</f>
        <v>29878</v>
      </c>
      <c r="M8" s="77">
        <f>I8</f>
        <v>29878</v>
      </c>
      <c r="N8" s="48"/>
      <c r="O8" s="40">
        <v>29878</v>
      </c>
      <c r="P8" s="14" t="s">
        <v>291</v>
      </c>
      <c r="Q8" s="57">
        <v>29878</v>
      </c>
      <c r="R8" s="57">
        <v>29878</v>
      </c>
      <c r="S8" s="57">
        <v>29878</v>
      </c>
    </row>
    <row r="9" spans="1:19" x14ac:dyDescent="0.25">
      <c r="A9" s="7" t="s">
        <v>20</v>
      </c>
      <c r="B9" s="1" t="s">
        <v>21</v>
      </c>
      <c r="C9" s="7" t="s">
        <v>17</v>
      </c>
      <c r="D9" s="8"/>
      <c r="E9" s="8"/>
      <c r="F9" s="8">
        <v>0</v>
      </c>
      <c r="G9" s="8">
        <v>0</v>
      </c>
      <c r="H9" s="110"/>
      <c r="I9" s="8">
        <f>G9</f>
        <v>0</v>
      </c>
      <c r="J9" s="2" t="s">
        <v>22</v>
      </c>
      <c r="K9" s="49">
        <v>0</v>
      </c>
      <c r="L9" s="11">
        <f>I9</f>
        <v>0</v>
      </c>
      <c r="M9" s="77">
        <f>I9</f>
        <v>0</v>
      </c>
      <c r="N9" s="48"/>
      <c r="O9" s="40">
        <v>0</v>
      </c>
      <c r="P9" s="14" t="s">
        <v>292</v>
      </c>
      <c r="Q9" s="57">
        <v>0</v>
      </c>
      <c r="R9" s="57">
        <v>0</v>
      </c>
      <c r="S9" s="57">
        <v>0</v>
      </c>
    </row>
    <row r="10" spans="1:19" ht="29.25" customHeight="1" x14ac:dyDescent="0.25">
      <c r="A10" s="7" t="s">
        <v>23</v>
      </c>
      <c r="B10" s="1" t="s">
        <v>24</v>
      </c>
      <c r="C10" s="7" t="s">
        <v>17</v>
      </c>
      <c r="D10" s="8"/>
      <c r="E10" s="8"/>
      <c r="F10" s="8">
        <v>0</v>
      </c>
      <c r="G10" s="8">
        <v>0</v>
      </c>
      <c r="H10" s="110"/>
      <c r="I10" s="8">
        <f>G10</f>
        <v>0</v>
      </c>
      <c r="J10" s="2" t="s">
        <v>22</v>
      </c>
      <c r="K10" s="49">
        <v>0</v>
      </c>
      <c r="L10" s="11">
        <f t="shared" ref="L10:L21" si="0">I10</f>
        <v>0</v>
      </c>
      <c r="M10" s="77">
        <f t="shared" ref="M10:M21" si="1">I10</f>
        <v>0</v>
      </c>
      <c r="N10" s="48"/>
      <c r="O10" s="40">
        <v>0</v>
      </c>
      <c r="P10" s="14" t="s">
        <v>292</v>
      </c>
      <c r="Q10" s="57">
        <v>0</v>
      </c>
      <c r="R10" s="57">
        <v>0</v>
      </c>
      <c r="S10" s="57">
        <v>0</v>
      </c>
    </row>
    <row r="11" spans="1:19" ht="18" customHeight="1" x14ac:dyDescent="0.25">
      <c r="A11" s="7" t="s">
        <v>25</v>
      </c>
      <c r="B11" s="1" t="s">
        <v>26</v>
      </c>
      <c r="C11" s="10" t="s">
        <v>17</v>
      </c>
      <c r="D11" s="11">
        <f>MROUND(D12,1)+ROUND(D14,1)</f>
        <v>0</v>
      </c>
      <c r="E11" s="11">
        <f>MROUND(E12,1)+MROUND(E14,1)</f>
        <v>0</v>
      </c>
      <c r="F11" s="11">
        <f>MROUND(F12,1)+MROUND(F14,1)</f>
        <v>28800</v>
      </c>
      <c r="G11" s="11">
        <f>MROUND(G12,1)+MROUND(G14,1)</f>
        <v>29878</v>
      </c>
      <c r="H11" s="110"/>
      <c r="I11" s="11">
        <f>MROUND(I12,1)+MROUND(I14,1)</f>
        <v>29878</v>
      </c>
      <c r="J11" s="2" t="s">
        <v>19</v>
      </c>
      <c r="K11" s="49">
        <f>I11/F11</f>
        <v>1.0374305555555556</v>
      </c>
      <c r="L11" s="11">
        <f t="shared" si="0"/>
        <v>29878</v>
      </c>
      <c r="M11" s="77">
        <f t="shared" si="1"/>
        <v>29878</v>
      </c>
      <c r="N11" s="48"/>
      <c r="O11" s="40">
        <v>29878</v>
      </c>
      <c r="P11" s="14" t="s">
        <v>291</v>
      </c>
      <c r="Q11" s="57">
        <v>29878</v>
      </c>
      <c r="R11" s="57">
        <v>29878</v>
      </c>
      <c r="S11" s="57">
        <v>29878</v>
      </c>
    </row>
    <row r="12" spans="1:19" x14ac:dyDescent="0.25">
      <c r="A12" s="7" t="s">
        <v>27</v>
      </c>
      <c r="B12" s="1" t="s">
        <v>28</v>
      </c>
      <c r="C12" s="7" t="s">
        <v>17</v>
      </c>
      <c r="D12" s="8"/>
      <c r="E12" s="8"/>
      <c r="F12" s="8">
        <v>0</v>
      </c>
      <c r="G12" s="8">
        <v>0</v>
      </c>
      <c r="H12" s="110"/>
      <c r="I12" s="8">
        <f>G12</f>
        <v>0</v>
      </c>
      <c r="J12" s="2" t="s">
        <v>22</v>
      </c>
      <c r="K12" s="49">
        <v>0</v>
      </c>
      <c r="L12" s="11">
        <f t="shared" si="0"/>
        <v>0</v>
      </c>
      <c r="M12" s="77">
        <f t="shared" si="1"/>
        <v>0</v>
      </c>
      <c r="N12" s="48"/>
      <c r="O12" s="40">
        <v>0</v>
      </c>
      <c r="P12" s="14" t="s">
        <v>292</v>
      </c>
      <c r="Q12" s="57">
        <v>0</v>
      </c>
      <c r="R12" s="57">
        <v>0</v>
      </c>
      <c r="S12" s="57">
        <v>0</v>
      </c>
    </row>
    <row r="13" spans="1:19" ht="33.75" customHeight="1" x14ac:dyDescent="0.25">
      <c r="A13" s="7" t="s">
        <v>29</v>
      </c>
      <c r="B13" s="1" t="s">
        <v>30</v>
      </c>
      <c r="C13" s="10" t="s">
        <v>31</v>
      </c>
      <c r="D13" s="12" t="e">
        <f>D12/D11</f>
        <v>#DIV/0!</v>
      </c>
      <c r="E13" s="12" t="e">
        <f>E12/E11</f>
        <v>#DIV/0!</v>
      </c>
      <c r="F13" s="12">
        <f>F12/F11</f>
        <v>0</v>
      </c>
      <c r="G13" s="12">
        <f>G12/G11</f>
        <v>0</v>
      </c>
      <c r="H13" s="110"/>
      <c r="I13" s="12">
        <f>I12/I11</f>
        <v>0</v>
      </c>
      <c r="J13" s="2" t="s">
        <v>22</v>
      </c>
      <c r="K13" s="49">
        <v>0</v>
      </c>
      <c r="L13" s="12">
        <f>I13</f>
        <v>0</v>
      </c>
      <c r="M13" s="79">
        <f>I13</f>
        <v>0</v>
      </c>
      <c r="N13" s="48"/>
      <c r="O13" s="40">
        <v>0</v>
      </c>
      <c r="P13" s="14" t="s">
        <v>292</v>
      </c>
      <c r="Q13" s="57">
        <v>0</v>
      </c>
      <c r="R13" s="57">
        <v>0</v>
      </c>
      <c r="S13" s="57">
        <v>0</v>
      </c>
    </row>
    <row r="14" spans="1:19" ht="30.75" customHeight="1" x14ac:dyDescent="0.25">
      <c r="A14" s="7" t="s">
        <v>32</v>
      </c>
      <c r="B14" s="1" t="s">
        <v>33</v>
      </c>
      <c r="C14" s="10" t="s">
        <v>17</v>
      </c>
      <c r="D14" s="11">
        <f>ROUND(D15,1)+ROUND(D17,1)+ROUND(D18,1)</f>
        <v>0</v>
      </c>
      <c r="E14" s="11">
        <f>ROUND(E15,1)+ROUND(E17,1)+ROUND(E18,1)</f>
        <v>0</v>
      </c>
      <c r="F14" s="11">
        <f>ROUND(F15,1)+ROUND(F17,1)+ROUND(F18,1)</f>
        <v>28800</v>
      </c>
      <c r="G14" s="11">
        <f>ROUND(G15,1)+ROUND(G17,1)+ROUND(G18,1)</f>
        <v>29878</v>
      </c>
      <c r="H14" s="110"/>
      <c r="I14" s="11">
        <f>ROUND(I15,1)+ROUND(I17,1)+ROUND(I18,1)</f>
        <v>29878</v>
      </c>
      <c r="J14" s="2" t="s">
        <v>19</v>
      </c>
      <c r="K14" s="49">
        <f t="shared" ref="K14:K25" si="2">I14/F14</f>
        <v>1.0374305555555556</v>
      </c>
      <c r="L14" s="11">
        <f t="shared" si="0"/>
        <v>29878</v>
      </c>
      <c r="M14" s="77">
        <f t="shared" si="1"/>
        <v>29878</v>
      </c>
      <c r="N14" s="48"/>
      <c r="O14" s="40">
        <v>29878</v>
      </c>
      <c r="P14" s="14"/>
      <c r="Q14" s="57">
        <v>29878</v>
      </c>
      <c r="R14" s="57">
        <v>29878</v>
      </c>
      <c r="S14" s="57">
        <v>29878</v>
      </c>
    </row>
    <row r="15" spans="1:19" ht="45" x14ac:dyDescent="0.25">
      <c r="A15" s="7" t="s">
        <v>34</v>
      </c>
      <c r="B15" s="1" t="s">
        <v>35</v>
      </c>
      <c r="C15" s="7" t="s">
        <v>17</v>
      </c>
      <c r="D15" s="8"/>
      <c r="E15" s="8"/>
      <c r="F15" s="8">
        <v>0</v>
      </c>
      <c r="G15" s="8">
        <v>1077.97</v>
      </c>
      <c r="H15" s="110"/>
      <c r="I15" s="8">
        <v>1077.97</v>
      </c>
      <c r="J15" s="2" t="s">
        <v>36</v>
      </c>
      <c r="K15" s="49" t="e">
        <f t="shared" si="2"/>
        <v>#DIV/0!</v>
      </c>
      <c r="L15" s="11">
        <f t="shared" si="0"/>
        <v>1077.97</v>
      </c>
      <c r="M15" s="77">
        <f t="shared" si="1"/>
        <v>1077.97</v>
      </c>
      <c r="N15" s="48"/>
      <c r="O15" s="40">
        <v>1078</v>
      </c>
      <c r="P15" s="2" t="s">
        <v>36</v>
      </c>
      <c r="Q15" s="57">
        <v>1078</v>
      </c>
      <c r="R15" s="57">
        <v>1078</v>
      </c>
      <c r="S15" s="57">
        <v>1078</v>
      </c>
    </row>
    <row r="16" spans="1:19" x14ac:dyDescent="0.25">
      <c r="A16" s="7" t="s">
        <v>37</v>
      </c>
      <c r="B16" s="1" t="s">
        <v>38</v>
      </c>
      <c r="C16" s="7" t="s">
        <v>17</v>
      </c>
      <c r="D16" s="8"/>
      <c r="E16" s="8"/>
      <c r="F16" s="8">
        <v>0</v>
      </c>
      <c r="G16" s="8">
        <v>0</v>
      </c>
      <c r="H16" s="110"/>
      <c r="I16" s="8">
        <f>G16</f>
        <v>0</v>
      </c>
      <c r="J16" s="2" t="s">
        <v>22</v>
      </c>
      <c r="K16" s="49" t="e">
        <f t="shared" si="2"/>
        <v>#DIV/0!</v>
      </c>
      <c r="L16" s="11">
        <f t="shared" si="0"/>
        <v>0</v>
      </c>
      <c r="M16" s="77">
        <f t="shared" si="1"/>
        <v>0</v>
      </c>
      <c r="N16" s="48"/>
      <c r="O16" s="40"/>
      <c r="P16" s="14" t="s">
        <v>292</v>
      </c>
      <c r="Q16" s="57"/>
      <c r="R16" s="57"/>
      <c r="S16" s="57"/>
    </row>
    <row r="17" spans="1:19" x14ac:dyDescent="0.25">
      <c r="A17" s="7" t="s">
        <v>39</v>
      </c>
      <c r="B17" s="1" t="s">
        <v>40</v>
      </c>
      <c r="C17" s="7"/>
      <c r="D17" s="8"/>
      <c r="E17" s="8"/>
      <c r="F17" s="8">
        <v>0</v>
      </c>
      <c r="G17" s="8">
        <v>0</v>
      </c>
      <c r="H17" s="110"/>
      <c r="I17" s="8">
        <f>G17</f>
        <v>0</v>
      </c>
      <c r="J17" s="2" t="s">
        <v>22</v>
      </c>
      <c r="K17" s="49">
        <v>0</v>
      </c>
      <c r="L17" s="11">
        <f>I17</f>
        <v>0</v>
      </c>
      <c r="M17" s="77">
        <f>I17</f>
        <v>0</v>
      </c>
      <c r="N17" s="48"/>
      <c r="O17" s="40"/>
      <c r="P17" s="14" t="s">
        <v>292</v>
      </c>
      <c r="Q17" s="57"/>
      <c r="R17" s="57"/>
      <c r="S17" s="57"/>
    </row>
    <row r="18" spans="1:19" ht="29.25" customHeight="1" x14ac:dyDescent="0.25">
      <c r="A18" s="7" t="s">
        <v>41</v>
      </c>
      <c r="B18" s="1" t="s">
        <v>42</v>
      </c>
      <c r="C18" s="10" t="s">
        <v>17</v>
      </c>
      <c r="D18" s="11">
        <f>ROUND(D19,1)+ROUND(D20,1)+ROUND(D21,1)</f>
        <v>0</v>
      </c>
      <c r="E18" s="11">
        <f>ROUND(E19,1)+ROUND(E20,1)+ROUND(E21,1)</f>
        <v>0</v>
      </c>
      <c r="F18" s="11">
        <f>ROUND(F19,1)+ROUND(F20,1)+ROUND(F21,1)</f>
        <v>28800</v>
      </c>
      <c r="G18" s="11">
        <f>ROUND(G19,1)+ROUND(G20,1)+ROUND(G21,1)</f>
        <v>28800</v>
      </c>
      <c r="H18" s="110"/>
      <c r="I18" s="11">
        <f>ROUND(I19,1)+ROUND(I20,1)+ROUND(I21,1)</f>
        <v>28800</v>
      </c>
      <c r="J18" s="2" t="s">
        <v>19</v>
      </c>
      <c r="K18" s="49">
        <f t="shared" si="2"/>
        <v>1</v>
      </c>
      <c r="L18" s="11">
        <f t="shared" si="0"/>
        <v>28800</v>
      </c>
      <c r="M18" s="77">
        <f t="shared" si="1"/>
        <v>28800</v>
      </c>
      <c r="N18" s="112" t="s">
        <v>284</v>
      </c>
      <c r="O18" s="86">
        <f>O19+O20+O21</f>
        <v>28800</v>
      </c>
      <c r="P18" s="1" t="s">
        <v>291</v>
      </c>
      <c r="Q18" s="57">
        <f>M18</f>
        <v>28800</v>
      </c>
      <c r="R18" s="57">
        <f>Q18</f>
        <v>28800</v>
      </c>
      <c r="S18" s="57">
        <f t="shared" ref="S18" si="3">R18</f>
        <v>28800</v>
      </c>
    </row>
    <row r="19" spans="1:19" ht="21.75" customHeight="1" x14ac:dyDescent="0.25">
      <c r="A19" s="7" t="s">
        <v>43</v>
      </c>
      <c r="B19" s="1" t="s">
        <v>44</v>
      </c>
      <c r="C19" s="7" t="s">
        <v>17</v>
      </c>
      <c r="D19" s="8"/>
      <c r="E19" s="8"/>
      <c r="F19" s="8">
        <v>1200</v>
      </c>
      <c r="G19" s="8">
        <f>F19</f>
        <v>1200</v>
      </c>
      <c r="H19" s="110"/>
      <c r="I19" s="8">
        <v>1200</v>
      </c>
      <c r="J19" s="23" t="s">
        <v>45</v>
      </c>
      <c r="K19" s="49">
        <f t="shared" si="2"/>
        <v>1</v>
      </c>
      <c r="L19" s="11">
        <f t="shared" si="0"/>
        <v>1200</v>
      </c>
      <c r="M19" s="77">
        <f t="shared" si="1"/>
        <v>1200</v>
      </c>
      <c r="N19" s="113"/>
      <c r="O19" s="86">
        <v>1200</v>
      </c>
      <c r="P19" s="1" t="s">
        <v>293</v>
      </c>
      <c r="Q19" s="57">
        <f>M19</f>
        <v>1200</v>
      </c>
      <c r="R19" s="57">
        <f t="shared" ref="R19:S19" si="4">Q19</f>
        <v>1200</v>
      </c>
      <c r="S19" s="57">
        <f t="shared" si="4"/>
        <v>1200</v>
      </c>
    </row>
    <row r="20" spans="1:19" ht="15.75" customHeight="1" x14ac:dyDescent="0.25">
      <c r="A20" s="7" t="s">
        <v>46</v>
      </c>
      <c r="B20" s="1" t="s">
        <v>47</v>
      </c>
      <c r="C20" s="7" t="s">
        <v>17</v>
      </c>
      <c r="D20" s="8"/>
      <c r="E20" s="8"/>
      <c r="F20" s="8">
        <v>27500</v>
      </c>
      <c r="G20" s="8">
        <f>F20</f>
        <v>27500</v>
      </c>
      <c r="H20" s="110"/>
      <c r="I20" s="8">
        <v>27500</v>
      </c>
      <c r="J20" s="23" t="s">
        <v>45</v>
      </c>
      <c r="K20" s="49">
        <f t="shared" si="2"/>
        <v>1</v>
      </c>
      <c r="L20" s="11">
        <f t="shared" si="0"/>
        <v>27500</v>
      </c>
      <c r="M20" s="77">
        <f t="shared" si="1"/>
        <v>27500</v>
      </c>
      <c r="N20" s="113"/>
      <c r="O20" s="86">
        <v>27500</v>
      </c>
      <c r="P20" s="1" t="s">
        <v>293</v>
      </c>
      <c r="Q20" s="57">
        <f>M20</f>
        <v>27500</v>
      </c>
      <c r="R20" s="57">
        <f t="shared" ref="R20:S20" si="5">Q20</f>
        <v>27500</v>
      </c>
      <c r="S20" s="57">
        <f t="shared" si="5"/>
        <v>27500</v>
      </c>
    </row>
    <row r="21" spans="1:19" ht="17.25" customHeight="1" x14ac:dyDescent="0.25">
      <c r="A21" s="7" t="s">
        <v>48</v>
      </c>
      <c r="B21" s="1" t="s">
        <v>49</v>
      </c>
      <c r="C21" s="7" t="s">
        <v>17</v>
      </c>
      <c r="D21" s="8"/>
      <c r="E21" s="8"/>
      <c r="F21" s="8">
        <v>100</v>
      </c>
      <c r="G21" s="8">
        <f>F21</f>
        <v>100</v>
      </c>
      <c r="H21" s="111"/>
      <c r="I21" s="8">
        <v>100</v>
      </c>
      <c r="J21" s="23" t="s">
        <v>45</v>
      </c>
      <c r="K21" s="49">
        <f t="shared" si="2"/>
        <v>1</v>
      </c>
      <c r="L21" s="11">
        <f t="shared" si="0"/>
        <v>100</v>
      </c>
      <c r="M21" s="77">
        <f t="shared" si="1"/>
        <v>100</v>
      </c>
      <c r="N21" s="114"/>
      <c r="O21" s="86">
        <v>100</v>
      </c>
      <c r="P21" s="1" t="s">
        <v>293</v>
      </c>
      <c r="Q21" s="57">
        <f>M21</f>
        <v>100</v>
      </c>
      <c r="R21" s="57">
        <f t="shared" ref="R21:S21" si="6">Q21</f>
        <v>100</v>
      </c>
      <c r="S21" s="57">
        <f t="shared" si="6"/>
        <v>100</v>
      </c>
    </row>
    <row r="22" spans="1:19" x14ac:dyDescent="0.25">
      <c r="A22" s="13"/>
      <c r="B22" s="106" t="s">
        <v>50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48"/>
      <c r="O22" s="40"/>
      <c r="P22" s="14"/>
      <c r="Q22" s="57"/>
      <c r="R22" s="57"/>
      <c r="S22" s="57"/>
    </row>
    <row r="23" spans="1:19" ht="15.75" customHeight="1" x14ac:dyDescent="0.25">
      <c r="A23" s="13"/>
      <c r="B23" s="1" t="s">
        <v>51</v>
      </c>
      <c r="C23" s="13" t="s">
        <v>52</v>
      </c>
      <c r="D23" s="7"/>
      <c r="E23" s="7"/>
      <c r="F23" s="7"/>
      <c r="G23" s="7"/>
      <c r="H23" s="1"/>
      <c r="I23" s="7"/>
      <c r="J23" s="50"/>
      <c r="K23" s="49"/>
      <c r="L23" s="7"/>
      <c r="M23" s="80"/>
      <c r="N23" s="48"/>
      <c r="O23" s="40"/>
      <c r="P23" s="14"/>
      <c r="Q23" s="57"/>
      <c r="R23" s="57"/>
      <c r="S23" s="57"/>
    </row>
    <row r="24" spans="1:19" ht="15" customHeight="1" x14ac:dyDescent="0.25">
      <c r="A24" s="7" t="s">
        <v>15</v>
      </c>
      <c r="B24" s="14" t="s">
        <v>53</v>
      </c>
      <c r="C24" s="10" t="s">
        <v>54</v>
      </c>
      <c r="D24" s="11">
        <f>ROUND(D25,1)+ROUND(D78,1)+ROUND(D86,1)</f>
        <v>0</v>
      </c>
      <c r="E24" s="11">
        <f>ROUND(E25,1)+ROUND(E78,1)+ROUND(E86,1)</f>
        <v>2274.8000000000002</v>
      </c>
      <c r="F24" s="11">
        <f>ROUND(F25,1)+ROUND(F78,1)+ROUND(F86,1)</f>
        <v>2472.1999999999998</v>
      </c>
      <c r="G24" s="11">
        <f>ROUND(G25,1)+ROUND(G78,1)+ROUND(G86,1)</f>
        <v>2948</v>
      </c>
      <c r="H24" s="2" t="s">
        <v>19</v>
      </c>
      <c r="I24" s="11">
        <v>2798.3370738120807</v>
      </c>
      <c r="J24" s="11" t="e">
        <f t="shared" ref="J24:M24" si="7">J25+J78+J86</f>
        <v>#VALUE!</v>
      </c>
      <c r="K24" s="11" t="e">
        <f t="shared" si="7"/>
        <v>#DIV/0!</v>
      </c>
      <c r="L24" s="11">
        <f t="shared" si="7"/>
        <v>2827.7376229320807</v>
      </c>
      <c r="M24" s="77">
        <f t="shared" si="7"/>
        <v>2984.5228784551723</v>
      </c>
      <c r="N24" s="41" t="s">
        <v>297</v>
      </c>
      <c r="O24" s="11">
        <f>O25+O78+O86</f>
        <v>2813.6622946981229</v>
      </c>
      <c r="P24" s="1" t="s">
        <v>291</v>
      </c>
      <c r="Q24" s="58">
        <f>Q25+Q78+Q86</f>
        <v>2968.1290961372483</v>
      </c>
      <c r="R24" s="58">
        <f t="shared" ref="R24:S24" si="8">R25+R78+R86</f>
        <v>3119.0773294540986</v>
      </c>
      <c r="S24" s="58">
        <f t="shared" si="8"/>
        <v>3279.9829990507587</v>
      </c>
    </row>
    <row r="25" spans="1:19" ht="60.75" customHeight="1" x14ac:dyDescent="0.25">
      <c r="A25" s="15" t="s">
        <v>55</v>
      </c>
      <c r="B25" s="14" t="s">
        <v>56</v>
      </c>
      <c r="C25" s="10" t="s">
        <v>54</v>
      </c>
      <c r="D25" s="11">
        <f>ROUND(D30,1)+ROUND(D51,1)+ROUND(D58,1)</f>
        <v>0</v>
      </c>
      <c r="E25" s="11">
        <f>ROUND(E30,1)+ROUND(E51,1)+ROUND(E58,1)</f>
        <v>1927.1999999999998</v>
      </c>
      <c r="F25" s="11">
        <f>ROUND(F30,1)+ROUND(F51,1)+ROUND(F58,1)</f>
        <v>1908.4</v>
      </c>
      <c r="G25" s="11">
        <f>ROUND(G30,1)+ROUND(G51,1)+ROUND(G58,1)</f>
        <v>2120.6</v>
      </c>
      <c r="H25" s="2" t="s">
        <v>19</v>
      </c>
      <c r="I25" s="11">
        <v>2067.0233458120806</v>
      </c>
      <c r="J25" s="2" t="s">
        <v>57</v>
      </c>
      <c r="K25" s="49">
        <f t="shared" si="2"/>
        <v>1.0831185002159298</v>
      </c>
      <c r="L25" s="11">
        <f>I25</f>
        <v>2067.0233458120806</v>
      </c>
      <c r="M25" s="77">
        <f>M30+M51+M58</f>
        <v>2201.9589256551726</v>
      </c>
      <c r="N25" s="41" t="s">
        <v>297</v>
      </c>
      <c r="O25" s="11">
        <f>O30+O51+O58</f>
        <v>2058.2480175781229</v>
      </c>
      <c r="P25" s="78" t="s">
        <v>317</v>
      </c>
      <c r="Q25" s="58">
        <f>O25*1.04</f>
        <v>2140.577938281248</v>
      </c>
      <c r="R25" s="58">
        <f>Q25*1.04</f>
        <v>2226.201055812498</v>
      </c>
      <c r="S25" s="58">
        <f>R25*1.04</f>
        <v>2315.2490980449979</v>
      </c>
    </row>
    <row r="26" spans="1:19" ht="15" customHeight="1" x14ac:dyDescent="0.25">
      <c r="A26" s="7"/>
      <c r="B26" s="16" t="s">
        <v>58</v>
      </c>
      <c r="C26" s="10"/>
      <c r="D26" s="11"/>
      <c r="E26" s="11"/>
      <c r="F26" s="11"/>
      <c r="G26" s="11"/>
      <c r="H26" s="2"/>
      <c r="I26" s="11"/>
      <c r="J26" s="2"/>
      <c r="K26" s="49"/>
      <c r="L26" s="11"/>
      <c r="M26" s="77"/>
      <c r="N26" s="48"/>
      <c r="O26" s="40"/>
      <c r="P26" s="14"/>
      <c r="Q26" s="57"/>
      <c r="R26" s="57"/>
      <c r="S26" s="57"/>
    </row>
    <row r="27" spans="1:19" ht="24" customHeight="1" x14ac:dyDescent="0.25">
      <c r="A27" s="7"/>
      <c r="B27" s="14" t="s">
        <v>59</v>
      </c>
      <c r="C27" s="17" t="s">
        <v>31</v>
      </c>
      <c r="D27" s="11" t="s">
        <v>60</v>
      </c>
      <c r="E27" s="11" t="s">
        <v>60</v>
      </c>
      <c r="F27" s="11" t="s">
        <v>60</v>
      </c>
      <c r="G27" s="11" t="s">
        <v>60</v>
      </c>
      <c r="H27" s="2" t="s">
        <v>61</v>
      </c>
      <c r="I27" s="12">
        <v>0.01</v>
      </c>
      <c r="J27" s="36" t="s">
        <v>62</v>
      </c>
      <c r="K27" s="49"/>
      <c r="L27" s="12">
        <v>0.01</v>
      </c>
      <c r="M27" s="79">
        <v>0.01</v>
      </c>
      <c r="N27" s="48"/>
      <c r="O27" s="44">
        <v>0.01</v>
      </c>
      <c r="P27" s="36" t="s">
        <v>62</v>
      </c>
      <c r="Q27" s="59">
        <v>0.01</v>
      </c>
      <c r="R27" s="59">
        <v>0.01</v>
      </c>
      <c r="S27" s="59">
        <v>0.01</v>
      </c>
    </row>
    <row r="28" spans="1:19" ht="64.5" customHeight="1" x14ac:dyDescent="0.25">
      <c r="A28" s="7"/>
      <c r="B28" s="14" t="s">
        <v>63</v>
      </c>
      <c r="C28" s="17" t="s">
        <v>31</v>
      </c>
      <c r="D28" s="11">
        <v>107.4</v>
      </c>
      <c r="E28" s="11">
        <v>107.8</v>
      </c>
      <c r="F28" s="12">
        <v>1.157</v>
      </c>
      <c r="G28" s="18">
        <v>1.0980000000000001</v>
      </c>
      <c r="H28" s="19" t="s">
        <v>64</v>
      </c>
      <c r="I28" s="12">
        <v>1.036</v>
      </c>
      <c r="J28" s="2" t="s">
        <v>65</v>
      </c>
      <c r="K28" s="49"/>
      <c r="L28" s="12">
        <v>1.04</v>
      </c>
      <c r="M28" s="79">
        <v>1.07</v>
      </c>
      <c r="N28" s="48"/>
      <c r="O28" s="44">
        <v>1.0429999999999999</v>
      </c>
      <c r="P28" s="65" t="s">
        <v>314</v>
      </c>
      <c r="Q28" s="57">
        <v>1.04</v>
      </c>
      <c r="R28" s="57">
        <v>1.04</v>
      </c>
      <c r="S28" s="57">
        <v>1.04</v>
      </c>
    </row>
    <row r="29" spans="1:19" ht="30" customHeight="1" x14ac:dyDescent="0.25">
      <c r="A29" s="7"/>
      <c r="B29" s="14" t="s">
        <v>66</v>
      </c>
      <c r="C29" s="17" t="s">
        <v>31</v>
      </c>
      <c r="D29" s="11" t="s">
        <v>60</v>
      </c>
      <c r="E29" s="11" t="s">
        <v>60</v>
      </c>
      <c r="F29" s="11" t="s">
        <v>60</v>
      </c>
      <c r="G29" s="11" t="s">
        <v>60</v>
      </c>
      <c r="H29" s="2" t="s">
        <v>61</v>
      </c>
      <c r="I29" s="12">
        <v>0</v>
      </c>
      <c r="J29" s="51" t="s">
        <v>60</v>
      </c>
      <c r="K29" s="49"/>
      <c r="L29" s="12">
        <v>0</v>
      </c>
      <c r="M29" s="79">
        <v>0</v>
      </c>
      <c r="N29" s="48"/>
      <c r="O29" s="38">
        <v>0</v>
      </c>
      <c r="P29" s="14"/>
      <c r="Q29" s="57"/>
      <c r="R29" s="57"/>
      <c r="S29" s="57"/>
    </row>
    <row r="30" spans="1:19" ht="15" customHeight="1" x14ac:dyDescent="0.25">
      <c r="A30" s="7" t="s">
        <v>67</v>
      </c>
      <c r="B30" s="1" t="s">
        <v>68</v>
      </c>
      <c r="C30" s="10" t="s">
        <v>54</v>
      </c>
      <c r="D30" s="11">
        <f>ROUND(D31,1)+ROUND(D32,1)+ROUND(D33,1)+ROUND(D42,1)+ROUND(D43,1)+ROUND(D44,1)</f>
        <v>0</v>
      </c>
      <c r="E30" s="11">
        <f>ROUND(E31,1)+ROUND(E32,1)+ROUND(E33,1)+ROUND(E42,1)+ROUND(E43,1)+ROUND(E44,1)</f>
        <v>1308.5999999999999</v>
      </c>
      <c r="F30" s="11">
        <f>ROUND(F31,1)+ROUND(F32,1)+ROUND(F33,1)+ROUND(F42,1)+ROUND(F43,1)+ROUND(F44,1)</f>
        <v>987.6</v>
      </c>
      <c r="G30" s="11">
        <f>ROUND(G31,1)+ROUND(G32,1)+ROUND(G33,1)+ROUND(G42,1)+ROUND(G43,1)+ROUND(G44,1)</f>
        <v>1269.5</v>
      </c>
      <c r="H30" s="2" t="s">
        <v>19</v>
      </c>
      <c r="I30" s="11">
        <v>1575.9824134120804</v>
      </c>
      <c r="J30" s="2" t="s">
        <v>19</v>
      </c>
      <c r="K30" s="49">
        <f t="shared" ref="K30:K93" si="9">I30/F30</f>
        <v>1.5957699609275824</v>
      </c>
      <c r="L30" s="8">
        <f>I30*$L$28</f>
        <v>1639.0217099485637</v>
      </c>
      <c r="M30" s="76">
        <f>M33+M44</f>
        <v>1686.3032976189995</v>
      </c>
      <c r="N30" s="42" t="s">
        <v>297</v>
      </c>
      <c r="O30" s="8">
        <f>O33+O44</f>
        <v>1557.3017411489232</v>
      </c>
      <c r="P30" s="42" t="s">
        <v>291</v>
      </c>
      <c r="Q30" s="60">
        <f>O30*1.04</f>
        <v>1619.59381079488</v>
      </c>
      <c r="R30" s="60">
        <f>Q30*1.04</f>
        <v>1684.3775632266752</v>
      </c>
      <c r="S30" s="60">
        <f>R30*1.04</f>
        <v>1751.7526657557423</v>
      </c>
    </row>
    <row r="31" spans="1:19" ht="30" hidden="1" customHeight="1" x14ac:dyDescent="0.25">
      <c r="A31" s="7" t="s">
        <v>69</v>
      </c>
      <c r="B31" s="1" t="s">
        <v>70</v>
      </c>
      <c r="C31" s="7" t="s">
        <v>54</v>
      </c>
      <c r="D31" s="8"/>
      <c r="E31" s="8"/>
      <c r="F31" s="8">
        <v>0</v>
      </c>
      <c r="G31" s="8">
        <v>0</v>
      </c>
      <c r="H31" s="2" t="s">
        <v>22</v>
      </c>
      <c r="I31" s="8"/>
      <c r="J31" s="51" t="s">
        <v>60</v>
      </c>
      <c r="K31" s="49">
        <v>0</v>
      </c>
      <c r="L31" s="8">
        <f t="shared" ref="L31:L94" si="10">I31*$L$28</f>
        <v>0</v>
      </c>
      <c r="M31" s="76">
        <f t="shared" ref="M31:M94" si="11">L31*$M$28</f>
        <v>0</v>
      </c>
      <c r="N31" s="48"/>
      <c r="O31" s="40"/>
      <c r="P31" s="14"/>
      <c r="Q31" s="57"/>
      <c r="R31" s="57"/>
      <c r="S31" s="57"/>
    </row>
    <row r="32" spans="1:19" ht="45" hidden="1" customHeight="1" x14ac:dyDescent="0.25">
      <c r="A32" s="7" t="s">
        <v>71</v>
      </c>
      <c r="B32" s="1" t="s">
        <v>72</v>
      </c>
      <c r="C32" s="7" t="s">
        <v>54</v>
      </c>
      <c r="D32" s="8"/>
      <c r="E32" s="8"/>
      <c r="F32" s="8">
        <v>0</v>
      </c>
      <c r="G32" s="8">
        <v>0</v>
      </c>
      <c r="H32" s="2" t="s">
        <v>22</v>
      </c>
      <c r="I32" s="8"/>
      <c r="J32" s="51" t="s">
        <v>60</v>
      </c>
      <c r="K32" s="49">
        <v>0</v>
      </c>
      <c r="L32" s="8">
        <f t="shared" si="10"/>
        <v>0</v>
      </c>
      <c r="M32" s="76">
        <f t="shared" si="11"/>
        <v>0</v>
      </c>
      <c r="N32" s="48"/>
      <c r="O32" s="40"/>
      <c r="P32" s="14"/>
      <c r="Q32" s="57"/>
      <c r="R32" s="57"/>
      <c r="S32" s="57"/>
    </row>
    <row r="33" spans="1:19" ht="46.5" customHeight="1" x14ac:dyDescent="0.25">
      <c r="A33" s="7" t="s">
        <v>73</v>
      </c>
      <c r="B33" s="1" t="s">
        <v>74</v>
      </c>
      <c r="C33" s="10" t="s">
        <v>54</v>
      </c>
      <c r="D33" s="11">
        <f>ROUND(D34,1)+ROUND(D37,1)+ROUND(D38,1)+ROUND(D41,1)</f>
        <v>0</v>
      </c>
      <c r="E33" s="11">
        <f>ROUND(E34,1)+ROUND(E37,1)+ROUND(E38,1)+ROUND(E41,1)</f>
        <v>1281.5999999999999</v>
      </c>
      <c r="F33" s="11">
        <f>ROUND(F34,1)+ROUND(F37,1)+ROUND(F38,1)+ROUND(F41,1)</f>
        <v>872.69999999999993</v>
      </c>
      <c r="G33" s="11">
        <f>ROUND(G34,1)+ROUND(G37,1)+ROUND(G38,1)+ROUND(G41,1)</f>
        <v>1151.0999999999999</v>
      </c>
      <c r="H33" s="2" t="s">
        <v>19</v>
      </c>
      <c r="I33" s="11">
        <v>1274.8724134120803</v>
      </c>
      <c r="J33" s="11" t="e">
        <f t="shared" ref="J33:S33" si="12">J34+J37+J38+J41</f>
        <v>#VALUE!</v>
      </c>
      <c r="K33" s="11">
        <f t="shared" si="12"/>
        <v>4.0831586008778231</v>
      </c>
      <c r="L33" s="11">
        <f t="shared" si="12"/>
        <v>1325.8673099485632</v>
      </c>
      <c r="M33" s="77">
        <f>M34+M37+M38+M41</f>
        <v>1364.1132976189995</v>
      </c>
      <c r="N33" s="41" t="s">
        <v>297</v>
      </c>
      <c r="O33" s="11">
        <f>O34+O37+O38+O41</f>
        <v>1246.2551111489231</v>
      </c>
      <c r="P33" s="41" t="s">
        <v>291</v>
      </c>
      <c r="Q33" s="58">
        <f t="shared" si="12"/>
        <v>1413.3227341909462</v>
      </c>
      <c r="R33" s="58">
        <f t="shared" si="12"/>
        <v>1469.8556435585842</v>
      </c>
      <c r="S33" s="58">
        <f t="shared" si="12"/>
        <v>1528.6498693009278</v>
      </c>
    </row>
    <row r="34" spans="1:19" ht="30" customHeight="1" x14ac:dyDescent="0.25">
      <c r="A34" s="7" t="s">
        <v>75</v>
      </c>
      <c r="B34" s="1" t="s">
        <v>76</v>
      </c>
      <c r="C34" s="7" t="s">
        <v>54</v>
      </c>
      <c r="D34" s="8"/>
      <c r="E34" s="8">
        <v>900.63</v>
      </c>
      <c r="F34" s="8">
        <f>F35*12*F36/1000</f>
        <v>600.76800000000003</v>
      </c>
      <c r="G34" s="8">
        <f>G35*G36*12/1000</f>
        <v>797.04219671999988</v>
      </c>
      <c r="H34" s="2" t="s">
        <v>19</v>
      </c>
      <c r="I34" s="8">
        <v>889.28320176000011</v>
      </c>
      <c r="J34" s="8" t="e">
        <f t="shared" ref="J34:L34" si="13">J35*J36*12/1000</f>
        <v>#VALUE!</v>
      </c>
      <c r="K34" s="8">
        <f t="shared" si="13"/>
        <v>1.7762927488015345E-2</v>
      </c>
      <c r="L34" s="8">
        <f t="shared" si="13"/>
        <v>924.85452983040011</v>
      </c>
      <c r="M34" s="76">
        <f>M35*M36*12/1000</f>
        <v>951.53288400000008</v>
      </c>
      <c r="N34" s="48" t="s">
        <v>297</v>
      </c>
      <c r="O34" s="40">
        <f>O35*O36*12/1000</f>
        <v>918.62954741808028</v>
      </c>
      <c r="P34" s="14" t="s">
        <v>291</v>
      </c>
      <c r="Q34" s="57">
        <f>Q35*Q36*12/1000</f>
        <v>989.59419935999995</v>
      </c>
      <c r="R34" s="57">
        <f t="shared" ref="R34:S34" si="14">R35*R36*12/1000</f>
        <v>1029.1779673344001</v>
      </c>
      <c r="S34" s="57">
        <f t="shared" si="14"/>
        <v>1070.3450860277762</v>
      </c>
    </row>
    <row r="35" spans="1:19" ht="60.75" customHeight="1" x14ac:dyDescent="0.25">
      <c r="A35" s="7"/>
      <c r="B35" s="1" t="s">
        <v>77</v>
      </c>
      <c r="C35" s="7" t="s">
        <v>78</v>
      </c>
      <c r="D35" s="8"/>
      <c r="E35" s="8"/>
      <c r="F35" s="8">
        <v>22350</v>
      </c>
      <c r="G35" s="8">
        <f>23177*G28</f>
        <v>25448.346000000001</v>
      </c>
      <c r="H35" s="3" t="s">
        <v>79</v>
      </c>
      <c r="I35" s="63">
        <v>25120.994400000003</v>
      </c>
      <c r="J35" s="37" t="s">
        <v>80</v>
      </c>
      <c r="K35" s="64">
        <f t="shared" si="9"/>
        <v>1.1239818523489935</v>
      </c>
      <c r="L35" s="63">
        <f t="shared" si="10"/>
        <v>26125.834176000004</v>
      </c>
      <c r="M35" s="82">
        <v>26879.46</v>
      </c>
      <c r="N35" s="47" t="s">
        <v>307</v>
      </c>
      <c r="O35" s="40">
        <f>I35*1.033</f>
        <v>25949.987215200003</v>
      </c>
      <c r="P35" s="67" t="s">
        <v>316</v>
      </c>
      <c r="Q35" s="57">
        <f>M35*1.04</f>
        <v>27954.6384</v>
      </c>
      <c r="R35" s="57">
        <f>Q35*1.04</f>
        <v>29072.823936000001</v>
      </c>
      <c r="S35" s="57">
        <f>R35*1.04</f>
        <v>30235.73689344</v>
      </c>
    </row>
    <row r="36" spans="1:19" ht="44.25" customHeight="1" x14ac:dyDescent="0.25">
      <c r="A36" s="7"/>
      <c r="B36" s="1" t="s">
        <v>81</v>
      </c>
      <c r="C36" s="7" t="s">
        <v>82</v>
      </c>
      <c r="D36" s="8"/>
      <c r="E36" s="8"/>
      <c r="F36" s="20">
        <v>2.2400000000000002</v>
      </c>
      <c r="G36" s="20">
        <v>2.61</v>
      </c>
      <c r="H36" s="3" t="s">
        <v>83</v>
      </c>
      <c r="I36" s="115">
        <v>2.95</v>
      </c>
      <c r="J36" s="37" t="s">
        <v>84</v>
      </c>
      <c r="K36" s="64">
        <f t="shared" si="9"/>
        <v>1.3169642857142856</v>
      </c>
      <c r="L36" s="63">
        <f>I36</f>
        <v>2.95</v>
      </c>
      <c r="M36" s="116">
        <v>2.95</v>
      </c>
      <c r="N36" s="47" t="s">
        <v>285</v>
      </c>
      <c r="O36" s="40">
        <v>2.95</v>
      </c>
      <c r="P36" s="68" t="s">
        <v>294</v>
      </c>
      <c r="Q36" s="57">
        <v>2.95</v>
      </c>
      <c r="R36" s="57">
        <v>2.95</v>
      </c>
      <c r="S36" s="57">
        <v>2.95</v>
      </c>
    </row>
    <row r="37" spans="1:19" ht="91.5" customHeight="1" x14ac:dyDescent="0.25">
      <c r="A37" s="7" t="s">
        <v>85</v>
      </c>
      <c r="B37" s="1" t="s">
        <v>86</v>
      </c>
      <c r="C37" s="7" t="s">
        <v>54</v>
      </c>
      <c r="D37" s="8"/>
      <c r="E37" s="8">
        <v>271.99</v>
      </c>
      <c r="F37" s="8">
        <f>F34*0.302</f>
        <v>181.43193600000001</v>
      </c>
      <c r="G37" s="8">
        <f>G34*30.2/100</f>
        <v>240.70674340943995</v>
      </c>
      <c r="H37" s="5" t="s">
        <v>87</v>
      </c>
      <c r="I37" s="63">
        <v>268.56352693152002</v>
      </c>
      <c r="J37" s="37" t="s">
        <v>88</v>
      </c>
      <c r="K37" s="64">
        <f t="shared" si="9"/>
        <v>1.4802439573346118</v>
      </c>
      <c r="L37" s="63">
        <f>I37*$L$28</f>
        <v>279.30606800878081</v>
      </c>
      <c r="M37" s="82">
        <f>M34*0.302</f>
        <v>287.362930968</v>
      </c>
      <c r="N37" s="47" t="s">
        <v>286</v>
      </c>
      <c r="O37" s="40">
        <f>(12792*O36*12)*30.2%/1000+((O34-(12792*O36*12)/1000)*15.2%)</f>
        <v>207.55721120754822</v>
      </c>
      <c r="P37" s="69" t="s">
        <v>311</v>
      </c>
      <c r="Q37" s="57">
        <f>Q34*0.302</f>
        <v>298.85744820671999</v>
      </c>
      <c r="R37" s="57">
        <f t="shared" ref="R37:S37" si="15">R34*0.302</f>
        <v>310.81174613498882</v>
      </c>
      <c r="S37" s="57">
        <f t="shared" si="15"/>
        <v>323.24421598038839</v>
      </c>
    </row>
    <row r="38" spans="1:19" ht="21.75" customHeight="1" x14ac:dyDescent="0.25">
      <c r="A38" s="7" t="s">
        <v>89</v>
      </c>
      <c r="B38" s="1" t="s">
        <v>90</v>
      </c>
      <c r="C38" s="7" t="s">
        <v>54</v>
      </c>
      <c r="D38" s="8"/>
      <c r="E38" s="8">
        <v>83.73</v>
      </c>
      <c r="F38" s="8">
        <f>F39*F40*12/1000</f>
        <v>69.536714399999994</v>
      </c>
      <c r="G38" s="8">
        <f>79.3*G28</f>
        <v>87.071399999999997</v>
      </c>
      <c r="H38" s="2" t="s">
        <v>19</v>
      </c>
      <c r="I38" s="8">
        <v>89.88147828000001</v>
      </c>
      <c r="J38" s="51" t="s">
        <v>91</v>
      </c>
      <c r="K38" s="49">
        <f t="shared" si="9"/>
        <v>1.2925758580275979</v>
      </c>
      <c r="L38" s="8">
        <f t="shared" si="10"/>
        <v>93.47673741120002</v>
      </c>
      <c r="M38" s="76">
        <f>I38*1.07</f>
        <v>96.173181759600013</v>
      </c>
      <c r="N38" s="8"/>
      <c r="O38" s="39">
        <f>O39*O40*12/1000</f>
        <v>92.218396715280008</v>
      </c>
      <c r="P38" s="42" t="s">
        <v>291</v>
      </c>
      <c r="Q38" s="60">
        <f>O38*1.04</f>
        <v>95.907132583891212</v>
      </c>
      <c r="R38" s="60">
        <f t="shared" ref="R38:S39" si="16">Q38*1.04</f>
        <v>99.743417887246864</v>
      </c>
      <c r="S38" s="60">
        <f t="shared" si="16"/>
        <v>103.73315460273675</v>
      </c>
    </row>
    <row r="39" spans="1:19" ht="60" customHeight="1" x14ac:dyDescent="0.25">
      <c r="A39" s="7"/>
      <c r="B39" s="1" t="s">
        <v>92</v>
      </c>
      <c r="C39" s="7" t="s">
        <v>78</v>
      </c>
      <c r="D39" s="8"/>
      <c r="E39" s="8"/>
      <c r="F39" s="8">
        <f>27673*104.7%</f>
        <v>28973.630999999998</v>
      </c>
      <c r="G39" s="8">
        <f>30045.7*G28</f>
        <v>32990.178600000007</v>
      </c>
      <c r="H39" s="3" t="s">
        <v>79</v>
      </c>
      <c r="I39" s="63">
        <v>32565.753000000001</v>
      </c>
      <c r="J39" s="37" t="s">
        <v>91</v>
      </c>
      <c r="K39" s="64">
        <f t="shared" si="9"/>
        <v>1.1239790069805198</v>
      </c>
      <c r="L39" s="63">
        <f t="shared" si="10"/>
        <v>33868.383119999999</v>
      </c>
      <c r="M39" s="82">
        <v>34845.35</v>
      </c>
      <c r="N39" s="47" t="s">
        <v>307</v>
      </c>
      <c r="O39" s="40">
        <f>I39*1.026</f>
        <v>33412.462577999999</v>
      </c>
      <c r="P39" s="67" t="s">
        <v>316</v>
      </c>
      <c r="Q39" s="57">
        <f>O39*1.04</f>
        <v>34748.961081119996</v>
      </c>
      <c r="R39" s="57">
        <f t="shared" si="16"/>
        <v>36138.919524364799</v>
      </c>
      <c r="S39" s="57">
        <f t="shared" si="16"/>
        <v>37584.476305339391</v>
      </c>
    </row>
    <row r="40" spans="1:19" ht="63" customHeight="1" x14ac:dyDescent="0.25">
      <c r="A40" s="7"/>
      <c r="B40" s="1" t="s">
        <v>93</v>
      </c>
      <c r="C40" s="7" t="s">
        <v>82</v>
      </c>
      <c r="D40" s="8"/>
      <c r="E40" s="8"/>
      <c r="F40" s="8">
        <v>0.2</v>
      </c>
      <c r="G40" s="20">
        <v>0.22</v>
      </c>
      <c r="H40" s="3" t="s">
        <v>94</v>
      </c>
      <c r="I40" s="115">
        <v>0.23</v>
      </c>
      <c r="J40" s="37" t="s">
        <v>84</v>
      </c>
      <c r="K40" s="64">
        <f t="shared" si="9"/>
        <v>1.1499999999999999</v>
      </c>
      <c r="L40" s="63">
        <f>I40</f>
        <v>0.23</v>
      </c>
      <c r="M40" s="116">
        <v>0.23</v>
      </c>
      <c r="N40" s="47" t="s">
        <v>285</v>
      </c>
      <c r="O40" s="40">
        <v>0.23</v>
      </c>
      <c r="P40" s="68" t="s">
        <v>294</v>
      </c>
      <c r="Q40" s="57">
        <f>M40</f>
        <v>0.23</v>
      </c>
      <c r="R40" s="57">
        <f>Q40</f>
        <v>0.23</v>
      </c>
      <c r="S40" s="57">
        <f t="shared" ref="S40" si="17">R40</f>
        <v>0.23</v>
      </c>
    </row>
    <row r="41" spans="1:19" ht="98.25" customHeight="1" x14ac:dyDescent="0.25">
      <c r="A41" s="7" t="s">
        <v>95</v>
      </c>
      <c r="B41" s="1" t="s">
        <v>96</v>
      </c>
      <c r="C41" s="7" t="s">
        <v>54</v>
      </c>
      <c r="D41" s="8"/>
      <c r="E41" s="8">
        <v>25.29</v>
      </c>
      <c r="F41" s="8">
        <f>F38*0.302</f>
        <v>21.000087748799999</v>
      </c>
      <c r="G41" s="8">
        <f>G38*30.2/100</f>
        <v>26.295562799999999</v>
      </c>
      <c r="H41" s="5" t="s">
        <v>97</v>
      </c>
      <c r="I41" s="63">
        <v>27.144206440560001</v>
      </c>
      <c r="J41" s="37" t="s">
        <v>98</v>
      </c>
      <c r="K41" s="64">
        <f t="shared" si="9"/>
        <v>1.2925758580275977</v>
      </c>
      <c r="L41" s="63">
        <f t="shared" si="10"/>
        <v>28.229974698182403</v>
      </c>
      <c r="M41" s="82">
        <f>I41*1.07</f>
        <v>29.044300891399203</v>
      </c>
      <c r="N41" s="47" t="s">
        <v>286</v>
      </c>
      <c r="O41" s="40">
        <f>O38*0.302</f>
        <v>27.849955808014563</v>
      </c>
      <c r="P41" s="70" t="s">
        <v>311</v>
      </c>
      <c r="Q41" s="57">
        <f>O41*1.04</f>
        <v>28.963954040335146</v>
      </c>
      <c r="R41" s="57">
        <f>Q41*1.04</f>
        <v>30.122512201948553</v>
      </c>
      <c r="S41" s="57">
        <f>R41*1.04</f>
        <v>31.327412690026495</v>
      </c>
    </row>
    <row r="42" spans="1:19" ht="45" customHeight="1" x14ac:dyDescent="0.25">
      <c r="A42" s="7" t="s">
        <v>99</v>
      </c>
      <c r="B42" s="1" t="s">
        <v>100</v>
      </c>
      <c r="C42" s="7" t="s">
        <v>54</v>
      </c>
      <c r="D42" s="8"/>
      <c r="E42" s="8"/>
      <c r="F42" s="8">
        <v>0</v>
      </c>
      <c r="G42" s="8">
        <v>0</v>
      </c>
      <c r="H42" s="2" t="s">
        <v>22</v>
      </c>
      <c r="I42" s="8">
        <v>0</v>
      </c>
      <c r="J42" s="2" t="s">
        <v>22</v>
      </c>
      <c r="K42" s="49">
        <v>0</v>
      </c>
      <c r="L42" s="8">
        <f t="shared" si="10"/>
        <v>0</v>
      </c>
      <c r="M42" s="76">
        <f t="shared" si="11"/>
        <v>0</v>
      </c>
      <c r="N42" s="48"/>
      <c r="O42" s="40">
        <v>0</v>
      </c>
      <c r="P42" s="14" t="s">
        <v>292</v>
      </c>
      <c r="Q42" s="57">
        <v>0</v>
      </c>
      <c r="R42" s="57">
        <v>0</v>
      </c>
      <c r="S42" s="57">
        <v>0</v>
      </c>
    </row>
    <row r="43" spans="1:19" ht="24.75" customHeight="1" x14ac:dyDescent="0.25">
      <c r="A43" s="7" t="s">
        <v>101</v>
      </c>
      <c r="B43" s="1" t="s">
        <v>102</v>
      </c>
      <c r="C43" s="7" t="s">
        <v>54</v>
      </c>
      <c r="D43" s="8"/>
      <c r="E43" s="8">
        <v>8.2899999999999991</v>
      </c>
      <c r="F43" s="8">
        <v>0</v>
      </c>
      <c r="G43" s="8">
        <v>0</v>
      </c>
      <c r="H43" s="2" t="s">
        <v>22</v>
      </c>
      <c r="I43" s="8">
        <v>0</v>
      </c>
      <c r="J43" s="2" t="s">
        <v>22</v>
      </c>
      <c r="K43" s="49">
        <v>0</v>
      </c>
      <c r="L43" s="8">
        <f t="shared" si="10"/>
        <v>0</v>
      </c>
      <c r="M43" s="76">
        <f t="shared" si="11"/>
        <v>0</v>
      </c>
      <c r="N43" s="48"/>
      <c r="O43" s="40">
        <v>0</v>
      </c>
      <c r="P43" s="14" t="s">
        <v>292</v>
      </c>
      <c r="Q43" s="57">
        <v>0</v>
      </c>
      <c r="R43" s="57">
        <v>0</v>
      </c>
      <c r="S43" s="57">
        <v>0</v>
      </c>
    </row>
    <row r="44" spans="1:19" x14ac:dyDescent="0.25">
      <c r="A44" s="7" t="s">
        <v>103</v>
      </c>
      <c r="B44" s="1" t="s">
        <v>104</v>
      </c>
      <c r="C44" s="10" t="s">
        <v>54</v>
      </c>
      <c r="D44" s="11">
        <f>ROUND(D45,1)+ROUND(D46,1)+ROUND(D47,1)+ROUND(D48,1)+ROUND(D49,1)+ROUND(D50,1)</f>
        <v>0</v>
      </c>
      <c r="E44" s="11">
        <f>ROUND(E45,1)+ROUND(E46,1)+ROUND(E47,1)+ROUND(E48,1)+ROUND(E49,1)+ROUND(E50,1)</f>
        <v>18.7</v>
      </c>
      <c r="F44" s="11">
        <f>ROUND(F45,1)+ROUND(F46,1)+ROUND(F47,1)+ROUND(F48,1)+ROUND(F49,1)+ROUND(F50,1)</f>
        <v>114.9</v>
      </c>
      <c r="G44" s="11">
        <v>118.4</v>
      </c>
      <c r="H44" s="2" t="s">
        <v>19</v>
      </c>
      <c r="I44" s="11">
        <v>301.11</v>
      </c>
      <c r="J44" s="11" t="e">
        <f t="shared" ref="J44:M44" si="18">J48+J50</f>
        <v>#VALUE!</v>
      </c>
      <c r="K44" s="11">
        <f t="shared" si="18"/>
        <v>4.7372807172251612</v>
      </c>
      <c r="L44" s="11">
        <f t="shared" si="18"/>
        <v>313.15440000000001</v>
      </c>
      <c r="M44" s="77">
        <f t="shared" si="18"/>
        <v>322.19000000000005</v>
      </c>
      <c r="N44" s="41" t="s">
        <v>297</v>
      </c>
      <c r="O44" s="11">
        <f>O48+O50</f>
        <v>311.04662999999994</v>
      </c>
      <c r="P44" s="42" t="s">
        <v>291</v>
      </c>
      <c r="Q44" s="60">
        <f t="shared" ref="Q44:S44" si="19">Q48+Q50</f>
        <v>327.73450791999994</v>
      </c>
      <c r="R44" s="60">
        <f t="shared" si="19"/>
        <v>342.90920223679996</v>
      </c>
      <c r="S44" s="60">
        <f t="shared" si="19"/>
        <v>358.83545630627196</v>
      </c>
    </row>
    <row r="45" spans="1:19" ht="15" hidden="1" customHeight="1" x14ac:dyDescent="0.25">
      <c r="A45" s="7" t="s">
        <v>105</v>
      </c>
      <c r="B45" s="1" t="s">
        <v>106</v>
      </c>
      <c r="C45" s="7" t="s">
        <v>54</v>
      </c>
      <c r="D45" s="8"/>
      <c r="E45" s="8"/>
      <c r="F45" s="8"/>
      <c r="G45" s="8"/>
      <c r="H45" s="2"/>
      <c r="I45" s="8"/>
      <c r="J45" s="51" t="s">
        <v>60</v>
      </c>
      <c r="K45" s="49" t="e">
        <f t="shared" si="9"/>
        <v>#DIV/0!</v>
      </c>
      <c r="L45" s="8">
        <f t="shared" si="10"/>
        <v>0</v>
      </c>
      <c r="M45" s="76">
        <f t="shared" si="11"/>
        <v>0</v>
      </c>
      <c r="N45" s="48"/>
      <c r="O45" s="40"/>
      <c r="P45" s="14"/>
      <c r="Q45" s="57"/>
      <c r="R45" s="57"/>
      <c r="S45" s="57"/>
    </row>
    <row r="46" spans="1:19" ht="21" hidden="1" customHeight="1" x14ac:dyDescent="0.25">
      <c r="A46" s="7" t="s">
        <v>107</v>
      </c>
      <c r="B46" s="1" t="s">
        <v>108</v>
      </c>
      <c r="C46" s="7" t="s">
        <v>54</v>
      </c>
      <c r="D46" s="8"/>
      <c r="E46" s="8"/>
      <c r="F46" s="8"/>
      <c r="G46" s="8"/>
      <c r="H46" s="2"/>
      <c r="I46" s="8"/>
      <c r="J46" s="51" t="s">
        <v>60</v>
      </c>
      <c r="K46" s="49" t="e">
        <f t="shared" si="9"/>
        <v>#DIV/0!</v>
      </c>
      <c r="L46" s="8">
        <f t="shared" si="10"/>
        <v>0</v>
      </c>
      <c r="M46" s="76">
        <f t="shared" si="11"/>
        <v>0</v>
      </c>
      <c r="N46" s="48"/>
      <c r="O46" s="40"/>
      <c r="P46" s="14"/>
      <c r="Q46" s="57"/>
      <c r="R46" s="57"/>
      <c r="S46" s="57"/>
    </row>
    <row r="47" spans="1:19" ht="30" hidden="1" customHeight="1" x14ac:dyDescent="0.25">
      <c r="A47" s="7" t="s">
        <v>109</v>
      </c>
      <c r="B47" s="1" t="s">
        <v>110</v>
      </c>
      <c r="C47" s="7" t="s">
        <v>54</v>
      </c>
      <c r="D47" s="8"/>
      <c r="E47" s="8"/>
      <c r="F47" s="8"/>
      <c r="G47" s="8"/>
      <c r="H47" s="2"/>
      <c r="I47" s="8"/>
      <c r="J47" s="51" t="s">
        <v>60</v>
      </c>
      <c r="K47" s="49" t="e">
        <f t="shared" si="9"/>
        <v>#DIV/0!</v>
      </c>
      <c r="L47" s="8">
        <f t="shared" si="10"/>
        <v>0</v>
      </c>
      <c r="M47" s="76">
        <f t="shared" si="11"/>
        <v>0</v>
      </c>
      <c r="N47" s="48"/>
      <c r="O47" s="40"/>
      <c r="P47" s="14"/>
      <c r="Q47" s="57"/>
      <c r="R47" s="57"/>
      <c r="S47" s="57"/>
    </row>
    <row r="48" spans="1:19" ht="49.5" customHeight="1" x14ac:dyDescent="0.25">
      <c r="A48" s="7" t="s">
        <v>111</v>
      </c>
      <c r="B48" s="1" t="s">
        <v>112</v>
      </c>
      <c r="C48" s="7" t="s">
        <v>54</v>
      </c>
      <c r="D48" s="8"/>
      <c r="E48" s="8">
        <f>'[1]Контроль воды, ОТ и ТБ'!$G$4/1000</f>
        <v>10.932871308269899</v>
      </c>
      <c r="F48" s="8">
        <v>72.900000000000006</v>
      </c>
      <c r="G48" s="8">
        <f>68.8*G28</f>
        <v>75.542400000000001</v>
      </c>
      <c r="H48" s="33" t="s">
        <v>113</v>
      </c>
      <c r="I48" s="63">
        <v>240.98099999999999</v>
      </c>
      <c r="J48" s="37" t="s">
        <v>114</v>
      </c>
      <c r="K48" s="64">
        <f t="shared" si="9"/>
        <v>3.305637860082304</v>
      </c>
      <c r="L48" s="63">
        <f t="shared" si="10"/>
        <v>250.62024</v>
      </c>
      <c r="M48" s="82">
        <v>257.85000000000002</v>
      </c>
      <c r="N48" s="66" t="s">
        <v>318</v>
      </c>
      <c r="O48" s="40">
        <f>I48*1.033</f>
        <v>248.93337299999996</v>
      </c>
      <c r="P48" s="1" t="s">
        <v>60</v>
      </c>
      <c r="Q48" s="57">
        <f>O48*1.04</f>
        <v>258.89070791999995</v>
      </c>
      <c r="R48" s="57">
        <f>Q48*1.04</f>
        <v>269.24633623679995</v>
      </c>
      <c r="S48" s="57">
        <f>R48*1.04</f>
        <v>280.01618968627196</v>
      </c>
    </row>
    <row r="49" spans="1:19" ht="15" customHeight="1" x14ac:dyDescent="0.25">
      <c r="A49" s="7" t="s">
        <v>115</v>
      </c>
      <c r="B49" s="1" t="s">
        <v>116</v>
      </c>
      <c r="C49" s="7" t="s">
        <v>54</v>
      </c>
      <c r="D49" s="8"/>
      <c r="E49" s="8"/>
      <c r="F49" s="8">
        <v>0</v>
      </c>
      <c r="G49" s="8">
        <v>0</v>
      </c>
      <c r="H49" s="33" t="s">
        <v>22</v>
      </c>
      <c r="I49" s="8">
        <v>0</v>
      </c>
      <c r="J49" s="33" t="s">
        <v>22</v>
      </c>
      <c r="K49" s="49">
        <v>0</v>
      </c>
      <c r="L49" s="8">
        <f t="shared" si="10"/>
        <v>0</v>
      </c>
      <c r="M49" s="76">
        <f t="shared" si="11"/>
        <v>0</v>
      </c>
      <c r="N49" s="48"/>
      <c r="O49" s="40">
        <v>0</v>
      </c>
      <c r="P49" s="14" t="s">
        <v>292</v>
      </c>
      <c r="Q49" s="57"/>
      <c r="R49" s="57"/>
      <c r="S49" s="57"/>
    </row>
    <row r="50" spans="1:19" ht="155.25" customHeight="1" x14ac:dyDescent="0.25">
      <c r="A50" s="7" t="s">
        <v>117</v>
      </c>
      <c r="B50" s="1" t="s">
        <v>118</v>
      </c>
      <c r="C50" s="7" t="s">
        <v>54</v>
      </c>
      <c r="D50" s="8"/>
      <c r="E50" s="8">
        <f>'[1]Контроль воды, ОТ и ТБ'!$H$25/1000</f>
        <v>7.8036186144578314</v>
      </c>
      <c r="F50" s="8">
        <v>42</v>
      </c>
      <c r="G50" s="8">
        <f>41.1*G28</f>
        <v>45.127800000000008</v>
      </c>
      <c r="H50" s="2" t="s">
        <v>119</v>
      </c>
      <c r="I50" s="63">
        <v>60.128999999999998</v>
      </c>
      <c r="J50" s="37" t="s">
        <v>120</v>
      </c>
      <c r="K50" s="64">
        <f t="shared" si="9"/>
        <v>1.431642857142857</v>
      </c>
      <c r="L50" s="63">
        <f t="shared" si="10"/>
        <v>62.53416</v>
      </c>
      <c r="M50" s="82">
        <v>64.34</v>
      </c>
      <c r="N50" s="47" t="s">
        <v>308</v>
      </c>
      <c r="O50" s="40">
        <f>I50*1.033</f>
        <v>62.11325699999999</v>
      </c>
      <c r="P50" s="1" t="s">
        <v>60</v>
      </c>
      <c r="Q50" s="57">
        <f>M50*1.07</f>
        <v>68.843800000000002</v>
      </c>
      <c r="R50" s="57">
        <f>Q50*1.07</f>
        <v>73.662866000000008</v>
      </c>
      <c r="S50" s="57">
        <f t="shared" ref="S50" si="20">R50*1.07</f>
        <v>78.819266620000008</v>
      </c>
    </row>
    <row r="51" spans="1:19" ht="20.25" customHeight="1" x14ac:dyDescent="0.25">
      <c r="A51" s="21" t="s">
        <v>121</v>
      </c>
      <c r="B51" s="1" t="s">
        <v>122</v>
      </c>
      <c r="C51" s="10" t="s">
        <v>54</v>
      </c>
      <c r="D51" s="11">
        <f>ROUND(D52,1)+ROUND(D53,1)+ROUND(D54,1)+ROUND(D57,1)</f>
        <v>0</v>
      </c>
      <c r="E51" s="11">
        <f>ROUND(E52,1)+ROUND(E53,1)+ROUND(E54,1)+ROUND(E57,1)</f>
        <v>112.6</v>
      </c>
      <c r="F51" s="11">
        <f>ROUND(F52,1)+ROUND(F53,1)+ROUND(F54,1)+ROUND(F57,1)</f>
        <v>695.8</v>
      </c>
      <c r="G51" s="11">
        <f>ROUND(G52,1)+ROUND(G53,1)+ROUND(G54,1)+ROUND(G57,1)</f>
        <v>597.5</v>
      </c>
      <c r="H51" s="2" t="s">
        <v>19</v>
      </c>
      <c r="I51" s="11">
        <v>240.62778</v>
      </c>
      <c r="J51" s="2" t="s">
        <v>19</v>
      </c>
      <c r="K51" s="49">
        <f t="shared" si="9"/>
        <v>0.34582894509916645</v>
      </c>
      <c r="L51" s="8">
        <f t="shared" si="10"/>
        <v>250.25289120000002</v>
      </c>
      <c r="M51" s="76">
        <f>M52+M53</f>
        <v>257.47000000000003</v>
      </c>
      <c r="N51" s="8"/>
      <c r="O51" s="39">
        <f>O52</f>
        <v>242.26948999999999</v>
      </c>
      <c r="P51" s="42" t="s">
        <v>291</v>
      </c>
      <c r="Q51" s="60">
        <f t="shared" ref="Q51:S51" si="21">Q52+Q53</f>
        <v>267.76880000000006</v>
      </c>
      <c r="R51" s="60">
        <f t="shared" si="21"/>
        <v>278.47955200000007</v>
      </c>
      <c r="S51" s="60">
        <f t="shared" si="21"/>
        <v>289.61873408000008</v>
      </c>
    </row>
    <row r="52" spans="1:19" ht="117" customHeight="1" x14ac:dyDescent="0.25">
      <c r="A52" s="7" t="s">
        <v>123</v>
      </c>
      <c r="B52" s="1" t="s">
        <v>124</v>
      </c>
      <c r="C52" s="7" t="s">
        <v>54</v>
      </c>
      <c r="D52" s="8"/>
      <c r="E52" s="8"/>
      <c r="F52" s="8">
        <v>89.856999999999999</v>
      </c>
      <c r="G52" s="8">
        <f>88.82*G28</f>
        <v>97.524360000000001</v>
      </c>
      <c r="H52" s="2" t="s">
        <v>125</v>
      </c>
      <c r="I52" s="63">
        <v>240.62778</v>
      </c>
      <c r="J52" s="37" t="s">
        <v>126</v>
      </c>
      <c r="K52" s="64">
        <f t="shared" si="9"/>
        <v>2.6778968805991741</v>
      </c>
      <c r="L52" s="63">
        <f t="shared" si="10"/>
        <v>250.25289120000002</v>
      </c>
      <c r="M52" s="83">
        <v>257.47000000000003</v>
      </c>
      <c r="N52" s="47" t="s">
        <v>288</v>
      </c>
      <c r="O52" s="40">
        <f>234.53*1.033</f>
        <v>242.26948999999999</v>
      </c>
      <c r="P52" s="71" t="s">
        <v>60</v>
      </c>
      <c r="Q52" s="57">
        <f>M52*1.04</f>
        <v>267.76880000000006</v>
      </c>
      <c r="R52" s="57">
        <f>Q52*1.04</f>
        <v>278.47955200000007</v>
      </c>
      <c r="S52" s="57">
        <f>R52*1.04</f>
        <v>289.61873408000008</v>
      </c>
    </row>
    <row r="53" spans="1:19" ht="47.25" customHeight="1" x14ac:dyDescent="0.25">
      <c r="A53" s="7" t="s">
        <v>127</v>
      </c>
      <c r="B53" s="1" t="s">
        <v>128</v>
      </c>
      <c r="C53" s="7" t="s">
        <v>54</v>
      </c>
      <c r="D53" s="8"/>
      <c r="E53" s="8">
        <v>112.6</v>
      </c>
      <c r="F53" s="8">
        <v>605.90300000000002</v>
      </c>
      <c r="G53" s="8">
        <f>455.397*G28</f>
        <v>500.02590600000002</v>
      </c>
      <c r="H53" s="2" t="s">
        <v>129</v>
      </c>
      <c r="I53" s="8">
        <v>0</v>
      </c>
      <c r="J53" s="51" t="s">
        <v>130</v>
      </c>
      <c r="K53" s="49">
        <f t="shared" si="9"/>
        <v>0</v>
      </c>
      <c r="L53" s="8">
        <f t="shared" si="10"/>
        <v>0</v>
      </c>
      <c r="M53" s="76">
        <v>0</v>
      </c>
      <c r="N53" s="48" t="s">
        <v>289</v>
      </c>
      <c r="O53" s="40">
        <v>0</v>
      </c>
      <c r="P53" s="14" t="s">
        <v>292</v>
      </c>
      <c r="Q53" s="57"/>
      <c r="R53" s="57"/>
      <c r="S53" s="57"/>
    </row>
    <row r="54" spans="1:19" ht="21" hidden="1" customHeight="1" x14ac:dyDescent="0.25">
      <c r="A54" s="7" t="s">
        <v>131</v>
      </c>
      <c r="B54" s="1" t="s">
        <v>132</v>
      </c>
      <c r="C54" s="7" t="s">
        <v>54</v>
      </c>
      <c r="D54" s="8"/>
      <c r="E54" s="8"/>
      <c r="F54" s="8"/>
      <c r="G54" s="8"/>
      <c r="H54" s="2"/>
      <c r="I54" s="8"/>
      <c r="J54" s="51" t="s">
        <v>60</v>
      </c>
      <c r="K54" s="49" t="e">
        <f t="shared" si="9"/>
        <v>#DIV/0!</v>
      </c>
      <c r="L54" s="8">
        <f t="shared" si="10"/>
        <v>0</v>
      </c>
      <c r="M54" s="76">
        <f t="shared" si="11"/>
        <v>0</v>
      </c>
      <c r="N54" s="48"/>
      <c r="O54" s="40"/>
      <c r="P54" s="14"/>
      <c r="Q54" s="57"/>
      <c r="R54" s="57"/>
      <c r="S54" s="57"/>
    </row>
    <row r="55" spans="1:19" ht="21" hidden="1" customHeight="1" x14ac:dyDescent="0.25">
      <c r="A55" s="7"/>
      <c r="B55" s="1" t="s">
        <v>133</v>
      </c>
      <c r="C55" s="7"/>
      <c r="D55" s="8"/>
      <c r="E55" s="8"/>
      <c r="F55" s="8"/>
      <c r="G55" s="8"/>
      <c r="H55" s="2"/>
      <c r="I55" s="8"/>
      <c r="J55" s="51" t="s">
        <v>60</v>
      </c>
      <c r="K55" s="49" t="e">
        <f t="shared" si="9"/>
        <v>#DIV/0!</v>
      </c>
      <c r="L55" s="8">
        <f t="shared" si="10"/>
        <v>0</v>
      </c>
      <c r="M55" s="76">
        <f t="shared" si="11"/>
        <v>0</v>
      </c>
      <c r="N55" s="48"/>
      <c r="O55" s="40"/>
      <c r="P55" s="14"/>
      <c r="Q55" s="57"/>
      <c r="R55" s="57"/>
      <c r="S55" s="57"/>
    </row>
    <row r="56" spans="1:19" ht="21" hidden="1" customHeight="1" x14ac:dyDescent="0.25">
      <c r="A56" s="7"/>
      <c r="B56" s="1" t="s">
        <v>134</v>
      </c>
      <c r="C56" s="7"/>
      <c r="D56" s="8"/>
      <c r="E56" s="8"/>
      <c r="F56" s="8"/>
      <c r="G56" s="8"/>
      <c r="H56" s="2"/>
      <c r="I56" s="8"/>
      <c r="J56" s="51" t="s">
        <v>60</v>
      </c>
      <c r="K56" s="49" t="e">
        <f t="shared" si="9"/>
        <v>#DIV/0!</v>
      </c>
      <c r="L56" s="8">
        <f t="shared" si="10"/>
        <v>0</v>
      </c>
      <c r="M56" s="76">
        <f t="shared" si="11"/>
        <v>0</v>
      </c>
      <c r="N56" s="48"/>
      <c r="O56" s="40"/>
      <c r="P56" s="14"/>
      <c r="Q56" s="57"/>
      <c r="R56" s="57"/>
      <c r="S56" s="57"/>
    </row>
    <row r="57" spans="1:19" ht="30" hidden="1" customHeight="1" x14ac:dyDescent="0.25">
      <c r="A57" s="7" t="s">
        <v>135</v>
      </c>
      <c r="B57" s="1" t="s">
        <v>136</v>
      </c>
      <c r="C57" s="7" t="s">
        <v>54</v>
      </c>
      <c r="D57" s="8"/>
      <c r="E57" s="8"/>
      <c r="F57" s="8"/>
      <c r="G57" s="8"/>
      <c r="H57" s="2"/>
      <c r="I57" s="8"/>
      <c r="J57" s="51" t="s">
        <v>60</v>
      </c>
      <c r="K57" s="49" t="e">
        <f t="shared" si="9"/>
        <v>#DIV/0!</v>
      </c>
      <c r="L57" s="8">
        <f t="shared" si="10"/>
        <v>0</v>
      </c>
      <c r="M57" s="76">
        <f t="shared" si="11"/>
        <v>0</v>
      </c>
      <c r="N57" s="48"/>
      <c r="O57" s="40"/>
      <c r="P57" s="14"/>
      <c r="Q57" s="57"/>
      <c r="R57" s="57"/>
      <c r="S57" s="57"/>
    </row>
    <row r="58" spans="1:19" ht="21.75" customHeight="1" x14ac:dyDescent="0.25">
      <c r="A58" s="7" t="s">
        <v>137</v>
      </c>
      <c r="B58" s="1" t="s">
        <v>138</v>
      </c>
      <c r="C58" s="10" t="s">
        <v>54</v>
      </c>
      <c r="D58" s="11">
        <f>ROUND(D59,1)+ROUND(D62,1)+ROUND(D63,1)</f>
        <v>0</v>
      </c>
      <c r="E58" s="11">
        <f>ROUND(E59,1)+ROUND(E62,1)+ROUND(E63,1)</f>
        <v>506</v>
      </c>
      <c r="F58" s="11">
        <f>ROUND(F59,1)+ROUND(F62,1)+ROUND(F63,1)</f>
        <v>225</v>
      </c>
      <c r="G58" s="11">
        <f>ROUND(G59,1)+ROUND(G62,1)+ROUND(G63,1)</f>
        <v>253.6</v>
      </c>
      <c r="H58" s="2" t="s">
        <v>19</v>
      </c>
      <c r="I58" s="11">
        <v>250.4131524</v>
      </c>
      <c r="J58" s="2" t="s">
        <v>19</v>
      </c>
      <c r="K58" s="49">
        <f t="shared" si="9"/>
        <v>1.1129473439999999</v>
      </c>
      <c r="L58" s="8">
        <f t="shared" si="10"/>
        <v>260.42967849600001</v>
      </c>
      <c r="M58" s="76">
        <f>M59+M62+M63</f>
        <v>258.18562803617283</v>
      </c>
      <c r="N58" s="8"/>
      <c r="O58" s="39">
        <f>I58*1.033</f>
        <v>258.67678642919998</v>
      </c>
      <c r="P58" s="42" t="s">
        <v>291</v>
      </c>
      <c r="Q58" s="60">
        <f t="shared" ref="Q58:S58" si="22">Q59+Q62+Q63</f>
        <v>271.03215315761975</v>
      </c>
      <c r="R58" s="60">
        <f t="shared" si="22"/>
        <v>284.56887628392457</v>
      </c>
      <c r="S58" s="60">
        <f t="shared" si="22"/>
        <v>292.10614121528153</v>
      </c>
    </row>
    <row r="59" spans="1:19" ht="17.25" customHeight="1" x14ac:dyDescent="0.25">
      <c r="A59" s="7" t="s">
        <v>139</v>
      </c>
      <c r="B59" s="1" t="s">
        <v>140</v>
      </c>
      <c r="C59" s="7" t="s">
        <v>54</v>
      </c>
      <c r="D59" s="8"/>
      <c r="E59" s="8">
        <v>271.58</v>
      </c>
      <c r="F59" s="8">
        <f>F61*F60*12/1000+'[2]штатн. расп (ауп)'!$L$16</f>
        <v>119.2167144</v>
      </c>
      <c r="G59" s="8">
        <f>G60*G61*12/1000+49.68*G28</f>
        <v>133.72506864000002</v>
      </c>
      <c r="H59" s="4" t="s">
        <v>19</v>
      </c>
      <c r="I59" s="8">
        <v>132.0462</v>
      </c>
      <c r="J59" s="2" t="s">
        <v>19</v>
      </c>
      <c r="K59" s="49">
        <f t="shared" si="9"/>
        <v>1.1076148228423246</v>
      </c>
      <c r="L59" s="8">
        <f t="shared" si="10"/>
        <v>137.328048</v>
      </c>
      <c r="M59" s="76">
        <f>M60*M61*12/1000</f>
        <v>133.80616592640001</v>
      </c>
      <c r="N59" s="48"/>
      <c r="O59" s="40">
        <f>I59*1.033</f>
        <v>136.40372459999998</v>
      </c>
      <c r="P59" s="14" t="s">
        <v>291</v>
      </c>
      <c r="Q59" s="57">
        <f>Q60*Q61*12/1000</f>
        <v>139.15841256345601</v>
      </c>
      <c r="R59" s="57">
        <f t="shared" ref="R59:S59" si="23">R60*R61*12/1000</f>
        <v>144.72474906599427</v>
      </c>
      <c r="S59" s="57">
        <f t="shared" si="23"/>
        <v>150.51373902863403</v>
      </c>
    </row>
    <row r="60" spans="1:19" ht="153.75" customHeight="1" x14ac:dyDescent="0.25">
      <c r="A60" s="7"/>
      <c r="B60" s="1" t="s">
        <v>141</v>
      </c>
      <c r="C60" s="7" t="s">
        <v>78</v>
      </c>
      <c r="D60" s="8"/>
      <c r="E60" s="8"/>
      <c r="F60" s="8">
        <v>28973.630999999998</v>
      </c>
      <c r="G60" s="8">
        <f>30045.7*109.8%</f>
        <v>32990.178599999999</v>
      </c>
      <c r="H60" s="3" t="s">
        <v>79</v>
      </c>
      <c r="I60" s="63">
        <v>32565.753000000001</v>
      </c>
      <c r="J60" s="37" t="s">
        <v>142</v>
      </c>
      <c r="K60" s="64">
        <f t="shared" si="9"/>
        <v>1.1239790069805198</v>
      </c>
      <c r="L60" s="63">
        <f t="shared" si="10"/>
        <v>33868.383119999999</v>
      </c>
      <c r="M60" s="82">
        <f>I60*1.07</f>
        <v>34845.355710000003</v>
      </c>
      <c r="N60" s="47" t="s">
        <v>304</v>
      </c>
      <c r="O60" s="40">
        <f>I60*1.026</f>
        <v>33412.462577999999</v>
      </c>
      <c r="P60" s="67" t="s">
        <v>310</v>
      </c>
      <c r="Q60" s="57">
        <f>M60*1.04</f>
        <v>36239.169938400002</v>
      </c>
      <c r="R60" s="57">
        <f>Q60*1.04</f>
        <v>37688.736735936007</v>
      </c>
      <c r="S60" s="57">
        <f>R60*1.04</f>
        <v>39196.28620537345</v>
      </c>
    </row>
    <row r="61" spans="1:19" ht="43.5" customHeight="1" x14ac:dyDescent="0.25">
      <c r="A61" s="7"/>
      <c r="B61" s="1" t="s">
        <v>143</v>
      </c>
      <c r="C61" s="7" t="s">
        <v>82</v>
      </c>
      <c r="D61" s="8"/>
      <c r="E61" s="8"/>
      <c r="F61" s="8">
        <v>0.2</v>
      </c>
      <c r="G61" s="8">
        <v>0.2</v>
      </c>
      <c r="H61" s="3" t="s">
        <v>144</v>
      </c>
      <c r="I61" s="8">
        <v>0.32</v>
      </c>
      <c r="J61" s="51" t="s">
        <v>145</v>
      </c>
      <c r="K61" s="49">
        <f t="shared" si="9"/>
        <v>1.5999999999999999</v>
      </c>
      <c r="L61" s="8">
        <f>I61</f>
        <v>0.32</v>
      </c>
      <c r="M61" s="81">
        <v>0.32</v>
      </c>
      <c r="N61" s="48"/>
      <c r="O61" s="40">
        <v>0.32</v>
      </c>
      <c r="P61" s="68" t="s">
        <v>294</v>
      </c>
      <c r="Q61" s="57">
        <v>0.32</v>
      </c>
      <c r="R61" s="57">
        <v>0.32</v>
      </c>
      <c r="S61" s="57">
        <v>0.32</v>
      </c>
    </row>
    <row r="62" spans="1:19" ht="36.75" customHeight="1" x14ac:dyDescent="0.25">
      <c r="A62" s="7" t="s">
        <v>146</v>
      </c>
      <c r="B62" s="1" t="s">
        <v>147</v>
      </c>
      <c r="C62" s="7" t="s">
        <v>54</v>
      </c>
      <c r="D62" s="8"/>
      <c r="E62" s="8">
        <v>82.02</v>
      </c>
      <c r="F62" s="8">
        <f>F59*30.2/100</f>
        <v>36.003447748799999</v>
      </c>
      <c r="G62" s="8">
        <f>G59*30.2/100</f>
        <v>40.384970729280006</v>
      </c>
      <c r="H62" s="5" t="s">
        <v>87</v>
      </c>
      <c r="I62" s="8">
        <v>39.877952399999998</v>
      </c>
      <c r="J62" s="51" t="s">
        <v>148</v>
      </c>
      <c r="K62" s="49">
        <f t="shared" si="9"/>
        <v>1.1076148228423246</v>
      </c>
      <c r="L62" s="8">
        <f t="shared" si="10"/>
        <v>41.473070495999998</v>
      </c>
      <c r="M62" s="76">
        <f>M59*0.302</f>
        <v>40.409462109772804</v>
      </c>
      <c r="N62" s="47" t="s">
        <v>286</v>
      </c>
      <c r="O62" s="40">
        <f>O59*0.302</f>
        <v>41.193924829199993</v>
      </c>
      <c r="P62" s="70" t="s">
        <v>311</v>
      </c>
      <c r="Q62" s="57">
        <f>Q59*0.302</f>
        <v>42.025840594163711</v>
      </c>
      <c r="R62" s="57">
        <f t="shared" ref="R62:S62" si="24">R59*0.302</f>
        <v>43.70687421793027</v>
      </c>
      <c r="S62" s="57">
        <f t="shared" si="24"/>
        <v>45.455149186647475</v>
      </c>
    </row>
    <row r="63" spans="1:19" ht="63" customHeight="1" x14ac:dyDescent="0.25">
      <c r="A63" s="7" t="s">
        <v>149</v>
      </c>
      <c r="B63" s="1" t="s">
        <v>150</v>
      </c>
      <c r="C63" s="7" t="s">
        <v>54</v>
      </c>
      <c r="D63" s="8"/>
      <c r="E63" s="8">
        <v>152.36000000000001</v>
      </c>
      <c r="F63" s="8">
        <v>69.77</v>
      </c>
      <c r="G63" s="8">
        <f>72.4*G28</f>
        <v>79.495200000000011</v>
      </c>
      <c r="H63" s="34" t="s">
        <v>151</v>
      </c>
      <c r="I63" s="63">
        <v>69.8</v>
      </c>
      <c r="J63" s="37" t="s">
        <v>152</v>
      </c>
      <c r="K63" s="64">
        <f t="shared" si="9"/>
        <v>1.0004299842339115</v>
      </c>
      <c r="L63" s="63">
        <f t="shared" si="10"/>
        <v>72.591999999999999</v>
      </c>
      <c r="M63" s="82">
        <v>83.97</v>
      </c>
      <c r="N63" s="47" t="s">
        <v>305</v>
      </c>
      <c r="O63" s="40">
        <f>I63*1.033</f>
        <v>72.103399999999993</v>
      </c>
      <c r="P63" s="68" t="s">
        <v>312</v>
      </c>
      <c r="Q63" s="57">
        <f>M63*1.07</f>
        <v>89.84790000000001</v>
      </c>
      <c r="R63" s="57">
        <f>Q63*1.07</f>
        <v>96.137253000000015</v>
      </c>
      <c r="S63" s="57">
        <f t="shared" ref="S63" si="25">Q63*1.07</f>
        <v>96.137253000000015</v>
      </c>
    </row>
    <row r="64" spans="1:19" ht="30" hidden="1" customHeight="1" x14ac:dyDescent="0.25">
      <c r="A64" s="7" t="s">
        <v>15</v>
      </c>
      <c r="B64" s="1" t="s">
        <v>153</v>
      </c>
      <c r="C64" s="7" t="s">
        <v>54</v>
      </c>
      <c r="D64" s="8"/>
      <c r="E64" s="8"/>
      <c r="F64" s="8"/>
      <c r="G64" s="8"/>
      <c r="H64" s="2"/>
      <c r="I64" s="8"/>
      <c r="J64" s="2"/>
      <c r="K64" s="49" t="e">
        <f t="shared" si="9"/>
        <v>#DIV/0!</v>
      </c>
      <c r="L64" s="8">
        <f t="shared" si="10"/>
        <v>0</v>
      </c>
      <c r="M64" s="76">
        <f t="shared" si="11"/>
        <v>0</v>
      </c>
      <c r="N64" s="48"/>
      <c r="O64" s="40"/>
      <c r="P64" s="14"/>
      <c r="Q64" s="57"/>
      <c r="R64" s="57"/>
      <c r="S64" s="57"/>
    </row>
    <row r="65" spans="1:19" ht="15" hidden="1" customHeight="1" x14ac:dyDescent="0.25">
      <c r="A65" s="7"/>
      <c r="B65" s="1" t="s">
        <v>154</v>
      </c>
      <c r="C65" s="7" t="s">
        <v>54</v>
      </c>
      <c r="D65" s="8"/>
      <c r="E65" s="8"/>
      <c r="F65" s="8"/>
      <c r="G65" s="8"/>
      <c r="H65" s="2"/>
      <c r="I65" s="8"/>
      <c r="J65" s="2"/>
      <c r="K65" s="49" t="e">
        <f t="shared" si="9"/>
        <v>#DIV/0!</v>
      </c>
      <c r="L65" s="8">
        <f t="shared" si="10"/>
        <v>0</v>
      </c>
      <c r="M65" s="76">
        <f t="shared" si="11"/>
        <v>0</v>
      </c>
      <c r="N65" s="48"/>
      <c r="O65" s="40"/>
      <c r="P65" s="14"/>
      <c r="Q65" s="57"/>
      <c r="R65" s="57"/>
      <c r="S65" s="57"/>
    </row>
    <row r="66" spans="1:19" ht="15" hidden="1" customHeight="1" x14ac:dyDescent="0.25">
      <c r="A66" s="7"/>
      <c r="B66" s="1" t="s">
        <v>155</v>
      </c>
      <c r="C66" s="7" t="s">
        <v>54</v>
      </c>
      <c r="D66" s="8"/>
      <c r="E66" s="8"/>
      <c r="F66" s="8"/>
      <c r="G66" s="8"/>
      <c r="H66" s="2"/>
      <c r="I66" s="8"/>
      <c r="J66" s="2"/>
      <c r="K66" s="49" t="e">
        <f t="shared" si="9"/>
        <v>#DIV/0!</v>
      </c>
      <c r="L66" s="8">
        <f t="shared" si="10"/>
        <v>0</v>
      </c>
      <c r="M66" s="76">
        <f t="shared" si="11"/>
        <v>0</v>
      </c>
      <c r="N66" s="48"/>
      <c r="O66" s="40"/>
      <c r="P66" s="14"/>
      <c r="Q66" s="57"/>
      <c r="R66" s="57"/>
      <c r="S66" s="57"/>
    </row>
    <row r="67" spans="1:19" ht="15" hidden="1" customHeight="1" x14ac:dyDescent="0.25">
      <c r="A67" s="7"/>
      <c r="B67" s="1" t="s">
        <v>156</v>
      </c>
      <c r="C67" s="7" t="s">
        <v>54</v>
      </c>
      <c r="D67" s="8"/>
      <c r="E67" s="8"/>
      <c r="F67" s="8"/>
      <c r="G67" s="8"/>
      <c r="H67" s="2"/>
      <c r="I67" s="8"/>
      <c r="J67" s="2"/>
      <c r="K67" s="49" t="e">
        <f t="shared" si="9"/>
        <v>#DIV/0!</v>
      </c>
      <c r="L67" s="8">
        <f t="shared" si="10"/>
        <v>0</v>
      </c>
      <c r="M67" s="76">
        <f t="shared" si="11"/>
        <v>0</v>
      </c>
      <c r="N67" s="48"/>
      <c r="O67" s="40"/>
      <c r="P67" s="14"/>
      <c r="Q67" s="57"/>
      <c r="R67" s="57"/>
      <c r="S67" s="57"/>
    </row>
    <row r="68" spans="1:19" ht="15" hidden="1" customHeight="1" x14ac:dyDescent="0.25">
      <c r="A68" s="7"/>
      <c r="B68" s="1" t="s">
        <v>157</v>
      </c>
      <c r="C68" s="7" t="s">
        <v>54</v>
      </c>
      <c r="D68" s="8"/>
      <c r="E68" s="8"/>
      <c r="F68" s="8"/>
      <c r="G68" s="8"/>
      <c r="H68" s="2"/>
      <c r="I68" s="8"/>
      <c r="J68" s="2"/>
      <c r="K68" s="49" t="e">
        <f t="shared" si="9"/>
        <v>#DIV/0!</v>
      </c>
      <c r="L68" s="8">
        <f t="shared" si="10"/>
        <v>0</v>
      </c>
      <c r="M68" s="76">
        <f t="shared" si="11"/>
        <v>0</v>
      </c>
      <c r="N68" s="48"/>
      <c r="O68" s="40"/>
      <c r="P68" s="14"/>
      <c r="Q68" s="57"/>
      <c r="R68" s="57"/>
      <c r="S68" s="57"/>
    </row>
    <row r="69" spans="1:19" ht="30" hidden="1" customHeight="1" x14ac:dyDescent="0.25">
      <c r="A69" s="7"/>
      <c r="B69" s="1" t="s">
        <v>158</v>
      </c>
      <c r="C69" s="7" t="s">
        <v>54</v>
      </c>
      <c r="D69" s="8"/>
      <c r="E69" s="8"/>
      <c r="F69" s="8"/>
      <c r="G69" s="8"/>
      <c r="H69" s="2"/>
      <c r="I69" s="8"/>
      <c r="J69" s="2"/>
      <c r="K69" s="49" t="e">
        <f t="shared" si="9"/>
        <v>#DIV/0!</v>
      </c>
      <c r="L69" s="8">
        <f t="shared" si="10"/>
        <v>0</v>
      </c>
      <c r="M69" s="76">
        <f t="shared" si="11"/>
        <v>0</v>
      </c>
      <c r="N69" s="48"/>
      <c r="O69" s="40"/>
      <c r="P69" s="14"/>
      <c r="Q69" s="57"/>
      <c r="R69" s="57"/>
      <c r="S69" s="57"/>
    </row>
    <row r="70" spans="1:19" ht="15" hidden="1" customHeight="1" x14ac:dyDescent="0.25">
      <c r="A70" s="7"/>
      <c r="B70" s="1" t="s">
        <v>159</v>
      </c>
      <c r="C70" s="7" t="s">
        <v>54</v>
      </c>
      <c r="D70" s="8"/>
      <c r="E70" s="8"/>
      <c r="F70" s="8"/>
      <c r="G70" s="8"/>
      <c r="H70" s="2"/>
      <c r="I70" s="8"/>
      <c r="J70" s="2"/>
      <c r="K70" s="49" t="e">
        <f t="shared" si="9"/>
        <v>#DIV/0!</v>
      </c>
      <c r="L70" s="8">
        <f t="shared" si="10"/>
        <v>0</v>
      </c>
      <c r="M70" s="76">
        <f t="shared" si="11"/>
        <v>0</v>
      </c>
      <c r="N70" s="48"/>
      <c r="O70" s="40"/>
      <c r="P70" s="14"/>
      <c r="Q70" s="57"/>
      <c r="R70" s="57"/>
      <c r="S70" s="57"/>
    </row>
    <row r="71" spans="1:19" ht="75" hidden="1" customHeight="1" x14ac:dyDescent="0.25">
      <c r="A71" s="7" t="s">
        <v>20</v>
      </c>
      <c r="B71" s="1" t="s">
        <v>160</v>
      </c>
      <c r="C71" s="7" t="s">
        <v>54</v>
      </c>
      <c r="D71" s="8"/>
      <c r="E71" s="8"/>
      <c r="F71" s="8"/>
      <c r="G71" s="8"/>
      <c r="H71" s="2"/>
      <c r="I71" s="8"/>
      <c r="J71" s="2"/>
      <c r="K71" s="49" t="e">
        <f t="shared" si="9"/>
        <v>#DIV/0!</v>
      </c>
      <c r="L71" s="8">
        <f t="shared" si="10"/>
        <v>0</v>
      </c>
      <c r="M71" s="76">
        <f t="shared" si="11"/>
        <v>0</v>
      </c>
      <c r="N71" s="48"/>
      <c r="O71" s="40"/>
      <c r="P71" s="14"/>
      <c r="Q71" s="57"/>
      <c r="R71" s="57"/>
      <c r="S71" s="57"/>
    </row>
    <row r="72" spans="1:19" ht="15" hidden="1" customHeight="1" x14ac:dyDescent="0.25">
      <c r="A72" s="7" t="s">
        <v>23</v>
      </c>
      <c r="B72" s="1" t="s">
        <v>161</v>
      </c>
      <c r="C72" s="7" t="s">
        <v>54</v>
      </c>
      <c r="D72" s="8"/>
      <c r="E72" s="8"/>
      <c r="F72" s="8"/>
      <c r="G72" s="8"/>
      <c r="H72" s="2"/>
      <c r="I72" s="8"/>
      <c r="J72" s="2"/>
      <c r="K72" s="49" t="e">
        <f t="shared" si="9"/>
        <v>#DIV/0!</v>
      </c>
      <c r="L72" s="8">
        <f t="shared" si="10"/>
        <v>0</v>
      </c>
      <c r="M72" s="76">
        <f t="shared" si="11"/>
        <v>0</v>
      </c>
      <c r="N72" s="48"/>
      <c r="O72" s="40"/>
      <c r="P72" s="14"/>
      <c r="Q72" s="57"/>
      <c r="R72" s="57"/>
      <c r="S72" s="57"/>
    </row>
    <row r="73" spans="1:19" ht="15" hidden="1" customHeight="1" x14ac:dyDescent="0.25">
      <c r="A73" s="7" t="s">
        <v>25</v>
      </c>
      <c r="B73" s="1" t="s">
        <v>162</v>
      </c>
      <c r="C73" s="7" t="s">
        <v>54</v>
      </c>
      <c r="D73" s="8"/>
      <c r="E73" s="8"/>
      <c r="F73" s="8"/>
      <c r="G73" s="8"/>
      <c r="H73" s="2"/>
      <c r="I73" s="8"/>
      <c r="J73" s="2"/>
      <c r="K73" s="49" t="e">
        <f t="shared" si="9"/>
        <v>#DIV/0!</v>
      </c>
      <c r="L73" s="8">
        <f t="shared" si="10"/>
        <v>0</v>
      </c>
      <c r="M73" s="76">
        <f t="shared" si="11"/>
        <v>0</v>
      </c>
      <c r="N73" s="48"/>
      <c r="O73" s="40"/>
      <c r="P73" s="14"/>
      <c r="Q73" s="57"/>
      <c r="R73" s="57"/>
      <c r="S73" s="57"/>
    </row>
    <row r="74" spans="1:19" ht="45" hidden="1" customHeight="1" x14ac:dyDescent="0.25">
      <c r="A74" s="7" t="s">
        <v>27</v>
      </c>
      <c r="B74" s="1" t="s">
        <v>163</v>
      </c>
      <c r="C74" s="7" t="s">
        <v>54</v>
      </c>
      <c r="D74" s="8"/>
      <c r="E74" s="8"/>
      <c r="F74" s="8"/>
      <c r="G74" s="8"/>
      <c r="H74" s="2"/>
      <c r="I74" s="8"/>
      <c r="J74" s="2"/>
      <c r="K74" s="49" t="e">
        <f t="shared" si="9"/>
        <v>#DIV/0!</v>
      </c>
      <c r="L74" s="8">
        <f t="shared" si="10"/>
        <v>0</v>
      </c>
      <c r="M74" s="76">
        <f t="shared" si="11"/>
        <v>0</v>
      </c>
      <c r="N74" s="48"/>
      <c r="O74" s="40"/>
      <c r="P74" s="14"/>
      <c r="Q74" s="57"/>
      <c r="R74" s="57"/>
      <c r="S74" s="57"/>
    </row>
    <row r="75" spans="1:19" ht="15" hidden="1" customHeight="1" x14ac:dyDescent="0.25">
      <c r="A75" s="7" t="s">
        <v>29</v>
      </c>
      <c r="B75" s="1" t="s">
        <v>150</v>
      </c>
      <c r="C75" s="7" t="s">
        <v>54</v>
      </c>
      <c r="D75" s="8"/>
      <c r="E75" s="8"/>
      <c r="F75" s="8"/>
      <c r="G75" s="8"/>
      <c r="H75" s="2"/>
      <c r="I75" s="8"/>
      <c r="J75" s="2"/>
      <c r="K75" s="49" t="e">
        <f t="shared" si="9"/>
        <v>#DIV/0!</v>
      </c>
      <c r="L75" s="8">
        <f t="shared" si="10"/>
        <v>0</v>
      </c>
      <c r="M75" s="76">
        <f t="shared" si="11"/>
        <v>0</v>
      </c>
      <c r="N75" s="48"/>
      <c r="O75" s="40"/>
      <c r="P75" s="14"/>
      <c r="Q75" s="57"/>
      <c r="R75" s="57"/>
      <c r="S75" s="57"/>
    </row>
    <row r="76" spans="1:19" ht="30" hidden="1" customHeight="1" x14ac:dyDescent="0.25">
      <c r="A76" s="7"/>
      <c r="B76" s="1" t="s">
        <v>164</v>
      </c>
      <c r="C76" s="7" t="s">
        <v>54</v>
      </c>
      <c r="D76" s="8"/>
      <c r="E76" s="8"/>
      <c r="F76" s="8"/>
      <c r="G76" s="8"/>
      <c r="H76" s="2"/>
      <c r="I76" s="8"/>
      <c r="J76" s="2"/>
      <c r="K76" s="49" t="e">
        <f t="shared" si="9"/>
        <v>#DIV/0!</v>
      </c>
      <c r="L76" s="8">
        <f t="shared" si="10"/>
        <v>0</v>
      </c>
      <c r="M76" s="76">
        <f t="shared" si="11"/>
        <v>0</v>
      </c>
      <c r="N76" s="48"/>
      <c r="O76" s="40"/>
      <c r="P76" s="14"/>
      <c r="Q76" s="57"/>
      <c r="R76" s="57"/>
      <c r="S76" s="57"/>
    </row>
    <row r="77" spans="1:19" ht="30.75" customHeight="1" x14ac:dyDescent="0.25">
      <c r="A77" s="7"/>
      <c r="B77" s="1" t="s">
        <v>165</v>
      </c>
      <c r="C77" s="7" t="s">
        <v>54</v>
      </c>
      <c r="D77" s="8"/>
      <c r="E77" s="8"/>
      <c r="F77" s="8"/>
      <c r="G77" s="8"/>
      <c r="H77" s="2"/>
      <c r="I77" s="8"/>
      <c r="J77" s="2"/>
      <c r="K77" s="49" t="e">
        <f t="shared" si="9"/>
        <v>#DIV/0!</v>
      </c>
      <c r="L77" s="8">
        <f t="shared" si="10"/>
        <v>0</v>
      </c>
      <c r="M77" s="76"/>
      <c r="N77" s="48"/>
      <c r="O77" s="40"/>
      <c r="P77" s="14"/>
      <c r="Q77" s="57"/>
      <c r="R77" s="57"/>
      <c r="S77" s="57"/>
    </row>
    <row r="78" spans="1:19" ht="15" customHeight="1" x14ac:dyDescent="0.25">
      <c r="A78" s="15" t="s">
        <v>166</v>
      </c>
      <c r="B78" s="14" t="s">
        <v>167</v>
      </c>
      <c r="C78" s="10" t="s">
        <v>54</v>
      </c>
      <c r="D78" s="11">
        <f>ROUND(D79,1)+ROUND(D82,1)</f>
        <v>0</v>
      </c>
      <c r="E78" s="11">
        <f>ROUND(E79,1)+ROUND(E82,1)</f>
        <v>347.6</v>
      </c>
      <c r="F78" s="11">
        <f>ROUND(F79,1)+ROUND(F82,1)</f>
        <v>528.79999999999995</v>
      </c>
      <c r="G78" s="11">
        <f>ROUND(G79,1)+ROUND(G82,1)</f>
        <v>627.1</v>
      </c>
      <c r="H78" s="2" t="s">
        <v>19</v>
      </c>
      <c r="I78" s="11">
        <v>555.01372800000001</v>
      </c>
      <c r="J78" s="2" t="s">
        <v>19</v>
      </c>
      <c r="K78" s="49">
        <f t="shared" si="9"/>
        <v>1.0495721028744327</v>
      </c>
      <c r="L78" s="11">
        <f t="shared" si="10"/>
        <v>577.21427712000002</v>
      </c>
      <c r="M78" s="77">
        <f>M79</f>
        <v>593.86395279999999</v>
      </c>
      <c r="N78" s="11"/>
      <c r="O78" s="86">
        <f>O79</f>
        <v>577.21427712000002</v>
      </c>
      <c r="P78" s="41" t="s">
        <v>291</v>
      </c>
      <c r="Q78" s="58">
        <f t="shared" ref="Q78:S78" si="26">Q79</f>
        <v>653.25115785600008</v>
      </c>
      <c r="R78" s="58">
        <f t="shared" si="26"/>
        <v>718.57627364160032</v>
      </c>
      <c r="S78" s="58">
        <f t="shared" si="26"/>
        <v>790.43390100576039</v>
      </c>
    </row>
    <row r="79" spans="1:19" ht="30" customHeight="1" x14ac:dyDescent="0.25">
      <c r="A79" s="7" t="s">
        <v>168</v>
      </c>
      <c r="B79" s="14" t="s">
        <v>169</v>
      </c>
      <c r="C79" s="7" t="s">
        <v>54</v>
      </c>
      <c r="D79" s="8"/>
      <c r="E79" s="8">
        <v>347.6</v>
      </c>
      <c r="F79" s="8">
        <f>F80*F81/1000</f>
        <v>528.76800000000003</v>
      </c>
      <c r="G79" s="8">
        <f>G80*G81/1000</f>
        <v>627.1203371040001</v>
      </c>
      <c r="H79" s="2" t="s">
        <v>19</v>
      </c>
      <c r="I79" s="8">
        <v>555.01372800000001</v>
      </c>
      <c r="J79" s="2" t="s">
        <v>19</v>
      </c>
      <c r="K79" s="49">
        <f t="shared" si="9"/>
        <v>1.0496356209150326</v>
      </c>
      <c r="L79" s="8">
        <f t="shared" si="10"/>
        <v>577.21427712000002</v>
      </c>
      <c r="M79" s="76">
        <f>M80*M81/1000</f>
        <v>593.86395279999999</v>
      </c>
      <c r="N79" s="8"/>
      <c r="O79" s="39">
        <f>O80*O81/1000</f>
        <v>577.21427712000002</v>
      </c>
      <c r="P79" s="72" t="s">
        <v>295</v>
      </c>
      <c r="Q79" s="60">
        <f>Q80*Q81/1000</f>
        <v>653.25115785600008</v>
      </c>
      <c r="R79" s="60">
        <f t="shared" ref="R79:S79" si="27">R80*R81/1000</f>
        <v>718.57627364160032</v>
      </c>
      <c r="S79" s="60">
        <f t="shared" si="27"/>
        <v>790.43390100576039</v>
      </c>
    </row>
    <row r="80" spans="1:19" ht="98.25" customHeight="1" x14ac:dyDescent="0.25">
      <c r="A80" s="7"/>
      <c r="B80" s="1" t="s">
        <v>170</v>
      </c>
      <c r="C80" s="7" t="s">
        <v>171</v>
      </c>
      <c r="D80" s="8"/>
      <c r="E80" s="8"/>
      <c r="F80" s="8">
        <v>155520</v>
      </c>
      <c r="G80" s="8">
        <f>I80</f>
        <v>161341.20000000001</v>
      </c>
      <c r="H80" s="2" t="s">
        <v>172</v>
      </c>
      <c r="I80" s="63">
        <v>161341.20000000001</v>
      </c>
      <c r="J80" s="117" t="s">
        <v>173</v>
      </c>
      <c r="K80" s="64">
        <f t="shared" si="9"/>
        <v>1.0374305555555556</v>
      </c>
      <c r="L80" s="63">
        <f>I80</f>
        <v>161341.20000000001</v>
      </c>
      <c r="M80" s="82">
        <v>161341</v>
      </c>
      <c r="N80" s="47" t="s">
        <v>290</v>
      </c>
      <c r="O80" s="40">
        <f>161341.2</f>
        <v>161341.20000000001</v>
      </c>
      <c r="P80" s="2" t="s">
        <v>173</v>
      </c>
      <c r="Q80" s="60">
        <v>161341.20000000001</v>
      </c>
      <c r="R80" s="60">
        <f>Q80</f>
        <v>161341.20000000001</v>
      </c>
      <c r="S80" s="60">
        <f>R80</f>
        <v>161341.20000000001</v>
      </c>
    </row>
    <row r="81" spans="1:19" s="53" customFormat="1" ht="122.25" customHeight="1" x14ac:dyDescent="0.25">
      <c r="A81" s="22"/>
      <c r="B81" s="23" t="s">
        <v>174</v>
      </c>
      <c r="C81" s="22" t="s">
        <v>175</v>
      </c>
      <c r="D81" s="24"/>
      <c r="E81" s="24"/>
      <c r="F81" s="25">
        <v>3.4</v>
      </c>
      <c r="G81" s="24">
        <f>3.54*G28</f>
        <v>3.8869200000000004</v>
      </c>
      <c r="H81" s="5" t="s">
        <v>176</v>
      </c>
      <c r="I81" s="118">
        <v>3.44</v>
      </c>
      <c r="J81" s="69" t="s">
        <v>177</v>
      </c>
      <c r="K81" s="64">
        <f>I81/F81</f>
        <v>1.0117647058823529</v>
      </c>
      <c r="L81" s="118">
        <f t="shared" si="10"/>
        <v>3.5775999999999999</v>
      </c>
      <c r="M81" s="119">
        <v>3.6808000000000001</v>
      </c>
      <c r="N81" s="52" t="s">
        <v>306</v>
      </c>
      <c r="O81" s="40">
        <f>3.44*1.04</f>
        <v>3.5775999999999999</v>
      </c>
      <c r="P81" s="23" t="s">
        <v>313</v>
      </c>
      <c r="Q81" s="57">
        <f>M81*1.1</f>
        <v>4.0488800000000005</v>
      </c>
      <c r="R81" s="57">
        <f>Q81*1.1</f>
        <v>4.4537680000000011</v>
      </c>
      <c r="S81" s="57">
        <f t="shared" ref="S81" si="28">R81*1.1</f>
        <v>4.899144800000002</v>
      </c>
    </row>
    <row r="82" spans="1:19" ht="15" hidden="1" customHeight="1" x14ac:dyDescent="0.25">
      <c r="A82" s="7" t="s">
        <v>178</v>
      </c>
      <c r="B82" s="14" t="s">
        <v>179</v>
      </c>
      <c r="C82" s="7" t="s">
        <v>54</v>
      </c>
      <c r="D82" s="8"/>
      <c r="E82" s="8"/>
      <c r="F82" s="8"/>
      <c r="G82" s="8"/>
      <c r="H82" s="2"/>
      <c r="I82" s="8"/>
      <c r="J82" s="2"/>
      <c r="K82" s="49" t="e">
        <f t="shared" si="9"/>
        <v>#DIV/0!</v>
      </c>
      <c r="L82" s="8">
        <f t="shared" si="10"/>
        <v>0</v>
      </c>
      <c r="M82" s="76">
        <f t="shared" si="11"/>
        <v>0</v>
      </c>
      <c r="N82" s="48"/>
      <c r="O82" s="40"/>
      <c r="P82" s="14"/>
      <c r="Q82" s="57"/>
      <c r="R82" s="57"/>
      <c r="S82" s="57"/>
    </row>
    <row r="83" spans="1:19" ht="15" hidden="1" customHeight="1" x14ac:dyDescent="0.25">
      <c r="A83" s="7"/>
      <c r="B83" s="14" t="s">
        <v>180</v>
      </c>
      <c r="C83" s="7" t="s">
        <v>181</v>
      </c>
      <c r="D83" s="8"/>
      <c r="E83" s="8"/>
      <c r="F83" s="8"/>
      <c r="G83" s="8"/>
      <c r="H83" s="2"/>
      <c r="I83" s="8"/>
      <c r="J83" s="2"/>
      <c r="K83" s="49" t="e">
        <f t="shared" si="9"/>
        <v>#DIV/0!</v>
      </c>
      <c r="L83" s="8">
        <f t="shared" si="10"/>
        <v>0</v>
      </c>
      <c r="M83" s="76">
        <f t="shared" si="11"/>
        <v>0</v>
      </c>
      <c r="N83" s="48"/>
      <c r="O83" s="40"/>
      <c r="P83" s="14"/>
      <c r="Q83" s="57"/>
      <c r="R83" s="57"/>
      <c r="S83" s="57"/>
    </row>
    <row r="84" spans="1:19" ht="18" hidden="1" customHeight="1" x14ac:dyDescent="0.25">
      <c r="A84" s="7"/>
      <c r="B84" s="14" t="s">
        <v>182</v>
      </c>
      <c r="C84" s="9" t="s">
        <v>183</v>
      </c>
      <c r="D84" s="8"/>
      <c r="E84" s="8"/>
      <c r="F84" s="8"/>
      <c r="G84" s="8"/>
      <c r="H84" s="2"/>
      <c r="I84" s="8"/>
      <c r="J84" s="2"/>
      <c r="K84" s="49" t="e">
        <f t="shared" si="9"/>
        <v>#DIV/0!</v>
      </c>
      <c r="L84" s="8">
        <f t="shared" si="10"/>
        <v>0</v>
      </c>
      <c r="M84" s="76">
        <f t="shared" si="11"/>
        <v>0</v>
      </c>
      <c r="N84" s="48"/>
      <c r="O84" s="40"/>
      <c r="P84" s="14"/>
      <c r="Q84" s="57"/>
      <c r="R84" s="57"/>
      <c r="S84" s="57"/>
    </row>
    <row r="85" spans="1:19" ht="34.5" customHeight="1" x14ac:dyDescent="0.25">
      <c r="A85" s="7" t="s">
        <v>184</v>
      </c>
      <c r="B85" s="1" t="s">
        <v>185</v>
      </c>
      <c r="C85" s="10" t="s">
        <v>186</v>
      </c>
      <c r="D85" s="11" t="e">
        <f>ROUND(D80,1)/ROUND(D11,1)</f>
        <v>#DIV/0!</v>
      </c>
      <c r="E85" s="11"/>
      <c r="F85" s="11">
        <f>ROUND(F80,1)/ROUND(F11,1)</f>
        <v>5.4</v>
      </c>
      <c r="G85" s="11">
        <f>ROUND(G80,1)/ROUND(G11,1)</f>
        <v>5.4</v>
      </c>
      <c r="H85" s="2" t="s">
        <v>187</v>
      </c>
      <c r="I85" s="11">
        <v>5.4</v>
      </c>
      <c r="J85" s="11" t="e">
        <f t="shared" ref="J85:M85" si="29">ROUND(J80,1)/ROUND(J11,1)</f>
        <v>#VALUE!</v>
      </c>
      <c r="K85" s="11">
        <f t="shared" si="29"/>
        <v>1</v>
      </c>
      <c r="L85" s="11">
        <f t="shared" si="29"/>
        <v>5.4</v>
      </c>
      <c r="M85" s="77">
        <f t="shared" si="29"/>
        <v>5.3999933061115204</v>
      </c>
      <c r="N85" s="11"/>
      <c r="O85" s="11">
        <v>5.4</v>
      </c>
      <c r="P85" s="2" t="s">
        <v>173</v>
      </c>
      <c r="Q85" s="57">
        <v>5.4</v>
      </c>
      <c r="R85" s="57">
        <v>5.4</v>
      </c>
      <c r="S85" s="57">
        <v>5.4</v>
      </c>
    </row>
    <row r="86" spans="1:19" ht="18.75" customHeight="1" x14ac:dyDescent="0.25">
      <c r="A86" s="7" t="s">
        <v>188</v>
      </c>
      <c r="B86" s="1" t="s">
        <v>189</v>
      </c>
      <c r="C86" s="10" t="s">
        <v>54</v>
      </c>
      <c r="D86" s="11">
        <f>ROUND(D87,1)+ROUND(D106,1)+ROUND(D116,1)+ROUND(D117,1)+ROUND(D118,1)+ROUND(D119,1)+ROUND(D120,1)+ROUND(D121,1)</f>
        <v>0</v>
      </c>
      <c r="E86" s="11">
        <f>ROUND(E87,1)+ROUND(E106,1)+ROUND(E116,1)+ROUND(E117,1)+ROUND(E118,1)+ROUND(E119,1)+ROUND(E120,1)+ROUND(E121,1)</f>
        <v>0</v>
      </c>
      <c r="F86" s="11">
        <f>ROUND(F87,1)+ROUND(F106,1)+ROUND(F116,1)+ROUND(F117,1)+ROUND(F118,1)+ROUND(F119,1)+ROUND(F120,1)+ROUND(F121,1)</f>
        <v>35</v>
      </c>
      <c r="G86" s="11">
        <f>ROUND(G87,1)+ROUND(G106,1)+ROUND(G116,1)+ROUND(G117,1)+ROUND(G118,1)+ROUND(G119,1)+ROUND(G120,1)+ROUND(G121,1)</f>
        <v>200.3</v>
      </c>
      <c r="H86" s="2" t="s">
        <v>19</v>
      </c>
      <c r="I86" s="11">
        <v>176.3</v>
      </c>
      <c r="J86" s="11" t="e">
        <f t="shared" ref="J86:N86" si="30">ROUND(J87,1)+ROUND(J106,1)+ROUND(J116,1)+ROUND(J117,1)+ROUND(J118,1)+ROUND(J119,1)+ROUND(J120,1)+ROUND(J121,1)</f>
        <v>#VALUE!</v>
      </c>
      <c r="K86" s="11" t="e">
        <f t="shared" si="30"/>
        <v>#DIV/0!</v>
      </c>
      <c r="L86" s="11">
        <f t="shared" si="30"/>
        <v>183.5</v>
      </c>
      <c r="M86" s="77">
        <f t="shared" si="30"/>
        <v>188.7</v>
      </c>
      <c r="N86" s="11">
        <f t="shared" si="30"/>
        <v>0</v>
      </c>
      <c r="O86" s="11">
        <f>ROUND(O87,1)+ROUND(O106,1)+ROUND(O116,1)+ROUND(O117,1)+ROUND(O118,1)+ROUND(O119,1)+ROUND(O120,1)+ROUND(O121,1)</f>
        <v>178.2</v>
      </c>
      <c r="P86" s="14" t="s">
        <v>291</v>
      </c>
      <c r="Q86" s="58">
        <f>Q87+Q106</f>
        <v>174.3</v>
      </c>
      <c r="R86" s="58">
        <f t="shared" ref="R86:S86" si="31">R87+R106</f>
        <v>174.3</v>
      </c>
      <c r="S86" s="58">
        <f t="shared" si="31"/>
        <v>174.3</v>
      </c>
    </row>
    <row r="87" spans="1:19" ht="60" customHeight="1" x14ac:dyDescent="0.25">
      <c r="A87" s="7" t="s">
        <v>190</v>
      </c>
      <c r="B87" s="1" t="s">
        <v>191</v>
      </c>
      <c r="C87" s="7" t="s">
        <v>54</v>
      </c>
      <c r="D87" s="8"/>
      <c r="E87" s="8"/>
      <c r="F87" s="8"/>
      <c r="G87" s="8">
        <v>0</v>
      </c>
      <c r="H87" s="2" t="s">
        <v>22</v>
      </c>
      <c r="I87" s="63">
        <v>0</v>
      </c>
      <c r="J87" s="117" t="s">
        <v>22</v>
      </c>
      <c r="K87" s="64">
        <v>0</v>
      </c>
      <c r="L87" s="63">
        <f t="shared" si="10"/>
        <v>0</v>
      </c>
      <c r="M87" s="82">
        <f t="shared" si="11"/>
        <v>0</v>
      </c>
      <c r="N87" s="48"/>
      <c r="O87" s="40">
        <v>0</v>
      </c>
      <c r="P87" s="14" t="s">
        <v>292</v>
      </c>
      <c r="Q87" s="60">
        <f t="shared" ref="Q87:Q105" si="32">N87*$M$28</f>
        <v>0</v>
      </c>
      <c r="R87" s="57"/>
      <c r="S87" s="57"/>
    </row>
    <row r="88" spans="1:19" ht="21" hidden="1" customHeight="1" x14ac:dyDescent="0.25">
      <c r="A88" s="7" t="s">
        <v>192</v>
      </c>
      <c r="B88" s="1" t="s">
        <v>193</v>
      </c>
      <c r="C88" s="7" t="s">
        <v>54</v>
      </c>
      <c r="D88" s="8"/>
      <c r="E88" s="8"/>
      <c r="F88" s="8"/>
      <c r="G88" s="8"/>
      <c r="H88" s="2"/>
      <c r="I88" s="8"/>
      <c r="J88" s="2"/>
      <c r="K88" s="49" t="e">
        <f t="shared" si="9"/>
        <v>#DIV/0!</v>
      </c>
      <c r="L88" s="8">
        <f t="shared" si="10"/>
        <v>0</v>
      </c>
      <c r="M88" s="76">
        <f t="shared" si="11"/>
        <v>0</v>
      </c>
      <c r="N88" s="48"/>
      <c r="O88" s="40"/>
      <c r="P88" s="14"/>
      <c r="Q88" s="60">
        <f t="shared" si="32"/>
        <v>0</v>
      </c>
      <c r="R88" s="57"/>
      <c r="S88" s="57"/>
    </row>
    <row r="89" spans="1:19" ht="21" hidden="1" customHeight="1" x14ac:dyDescent="0.25">
      <c r="A89" s="7"/>
      <c r="B89" s="1" t="s">
        <v>194</v>
      </c>
      <c r="C89" s="7" t="s">
        <v>195</v>
      </c>
      <c r="D89" s="8"/>
      <c r="E89" s="8"/>
      <c r="F89" s="8"/>
      <c r="G89" s="8"/>
      <c r="H89" s="2"/>
      <c r="I89" s="8"/>
      <c r="J89" s="2"/>
      <c r="K89" s="49" t="e">
        <f t="shared" si="9"/>
        <v>#DIV/0!</v>
      </c>
      <c r="L89" s="8">
        <f t="shared" si="10"/>
        <v>0</v>
      </c>
      <c r="M89" s="76">
        <f t="shared" si="11"/>
        <v>0</v>
      </c>
      <c r="N89" s="48"/>
      <c r="O89" s="40"/>
      <c r="P89" s="14"/>
      <c r="Q89" s="60">
        <f t="shared" si="32"/>
        <v>0</v>
      </c>
      <c r="R89" s="57"/>
      <c r="S89" s="57"/>
    </row>
    <row r="90" spans="1:19" ht="21" hidden="1" customHeight="1" x14ac:dyDescent="0.25">
      <c r="A90" s="7"/>
      <c r="B90" s="1" t="s">
        <v>196</v>
      </c>
      <c r="C90" s="7" t="s">
        <v>197</v>
      </c>
      <c r="D90" s="8"/>
      <c r="E90" s="8"/>
      <c r="F90" s="8"/>
      <c r="G90" s="8"/>
      <c r="H90" s="2"/>
      <c r="I90" s="8"/>
      <c r="J90" s="2"/>
      <c r="K90" s="49" t="e">
        <f t="shared" si="9"/>
        <v>#DIV/0!</v>
      </c>
      <c r="L90" s="8">
        <f t="shared" si="10"/>
        <v>0</v>
      </c>
      <c r="M90" s="76">
        <f t="shared" si="11"/>
        <v>0</v>
      </c>
      <c r="N90" s="48"/>
      <c r="O90" s="40"/>
      <c r="P90" s="14"/>
      <c r="Q90" s="60">
        <f t="shared" si="32"/>
        <v>0</v>
      </c>
      <c r="R90" s="57"/>
      <c r="S90" s="57"/>
    </row>
    <row r="91" spans="1:19" ht="21" hidden="1" customHeight="1" x14ac:dyDescent="0.25">
      <c r="A91" s="7" t="s">
        <v>198</v>
      </c>
      <c r="B91" s="1" t="s">
        <v>199</v>
      </c>
      <c r="C91" s="7" t="s">
        <v>54</v>
      </c>
      <c r="D91" s="8"/>
      <c r="E91" s="8"/>
      <c r="F91" s="8"/>
      <c r="G91" s="8"/>
      <c r="H91" s="2"/>
      <c r="I91" s="8"/>
      <c r="J91" s="2"/>
      <c r="K91" s="49" t="e">
        <f t="shared" si="9"/>
        <v>#DIV/0!</v>
      </c>
      <c r="L91" s="8">
        <f t="shared" si="10"/>
        <v>0</v>
      </c>
      <c r="M91" s="76">
        <f t="shared" si="11"/>
        <v>0</v>
      </c>
      <c r="N91" s="48"/>
      <c r="O91" s="40"/>
      <c r="P91" s="14"/>
      <c r="Q91" s="60">
        <f t="shared" si="32"/>
        <v>0</v>
      </c>
      <c r="R91" s="57"/>
      <c r="S91" s="57"/>
    </row>
    <row r="92" spans="1:19" ht="21" hidden="1" customHeight="1" x14ac:dyDescent="0.25">
      <c r="A92" s="7"/>
      <c r="B92" s="1" t="s">
        <v>200</v>
      </c>
      <c r="C92" s="7" t="s">
        <v>17</v>
      </c>
      <c r="D92" s="8"/>
      <c r="E92" s="8"/>
      <c r="F92" s="8"/>
      <c r="G92" s="8"/>
      <c r="H92" s="2"/>
      <c r="I92" s="8"/>
      <c r="J92" s="2"/>
      <c r="K92" s="49" t="e">
        <f t="shared" si="9"/>
        <v>#DIV/0!</v>
      </c>
      <c r="L92" s="8">
        <f t="shared" si="10"/>
        <v>0</v>
      </c>
      <c r="M92" s="76">
        <f t="shared" si="11"/>
        <v>0</v>
      </c>
      <c r="N92" s="48"/>
      <c r="O92" s="40"/>
      <c r="P92" s="14"/>
      <c r="Q92" s="60">
        <f t="shared" si="32"/>
        <v>0</v>
      </c>
      <c r="R92" s="57"/>
      <c r="S92" s="57"/>
    </row>
    <row r="93" spans="1:19" ht="21" hidden="1" customHeight="1" x14ac:dyDescent="0.25">
      <c r="A93" s="7"/>
      <c r="B93" s="1" t="s">
        <v>201</v>
      </c>
      <c r="C93" s="7" t="s">
        <v>202</v>
      </c>
      <c r="D93" s="8"/>
      <c r="E93" s="8"/>
      <c r="F93" s="8"/>
      <c r="G93" s="8"/>
      <c r="H93" s="2"/>
      <c r="I93" s="8"/>
      <c r="J93" s="2"/>
      <c r="K93" s="49" t="e">
        <f t="shared" si="9"/>
        <v>#DIV/0!</v>
      </c>
      <c r="L93" s="8">
        <f t="shared" si="10"/>
        <v>0</v>
      </c>
      <c r="M93" s="76">
        <f t="shared" si="11"/>
        <v>0</v>
      </c>
      <c r="N93" s="48"/>
      <c r="O93" s="40"/>
      <c r="P93" s="14"/>
      <c r="Q93" s="60">
        <f t="shared" si="32"/>
        <v>0</v>
      </c>
      <c r="R93" s="57"/>
      <c r="S93" s="57"/>
    </row>
    <row r="94" spans="1:19" ht="21" hidden="1" customHeight="1" x14ac:dyDescent="0.25">
      <c r="A94" s="7" t="s">
        <v>203</v>
      </c>
      <c r="B94" s="1" t="s">
        <v>204</v>
      </c>
      <c r="C94" s="7" t="s">
        <v>54</v>
      </c>
      <c r="D94" s="8"/>
      <c r="E94" s="8"/>
      <c r="F94" s="8"/>
      <c r="G94" s="8"/>
      <c r="H94" s="2"/>
      <c r="I94" s="8"/>
      <c r="J94" s="2"/>
      <c r="K94" s="49" t="e">
        <f t="shared" ref="K94:K129" si="33">I94/F94</f>
        <v>#DIV/0!</v>
      </c>
      <c r="L94" s="8">
        <f t="shared" si="10"/>
        <v>0</v>
      </c>
      <c r="M94" s="76">
        <f t="shared" si="11"/>
        <v>0</v>
      </c>
      <c r="N94" s="48"/>
      <c r="O94" s="40"/>
      <c r="P94" s="14"/>
      <c r="Q94" s="60">
        <f t="shared" si="32"/>
        <v>0</v>
      </c>
      <c r="R94" s="57"/>
      <c r="S94" s="57"/>
    </row>
    <row r="95" spans="1:19" ht="21" hidden="1" customHeight="1" x14ac:dyDescent="0.25">
      <c r="A95" s="7"/>
      <c r="B95" s="1" t="s">
        <v>205</v>
      </c>
      <c r="C95" s="7" t="s">
        <v>17</v>
      </c>
      <c r="D95" s="8"/>
      <c r="E95" s="8"/>
      <c r="F95" s="8"/>
      <c r="G95" s="8"/>
      <c r="H95" s="2"/>
      <c r="I95" s="8"/>
      <c r="J95" s="2"/>
      <c r="K95" s="49" t="e">
        <f t="shared" si="33"/>
        <v>#DIV/0!</v>
      </c>
      <c r="L95" s="8">
        <f t="shared" ref="L95:L131" si="34">I95*$L$28</f>
        <v>0</v>
      </c>
      <c r="M95" s="76">
        <f t="shared" ref="M95:M128" si="35">L95*$M$28</f>
        <v>0</v>
      </c>
      <c r="N95" s="48"/>
      <c r="O95" s="40"/>
      <c r="P95" s="14"/>
      <c r="Q95" s="60">
        <f t="shared" si="32"/>
        <v>0</v>
      </c>
      <c r="R95" s="57"/>
      <c r="S95" s="57"/>
    </row>
    <row r="96" spans="1:19" ht="21" hidden="1" customHeight="1" x14ac:dyDescent="0.25">
      <c r="A96" s="7"/>
      <c r="B96" s="1" t="s">
        <v>206</v>
      </c>
      <c r="C96" s="7" t="s">
        <v>202</v>
      </c>
      <c r="D96" s="8"/>
      <c r="E96" s="8"/>
      <c r="F96" s="8"/>
      <c r="G96" s="8"/>
      <c r="H96" s="2"/>
      <c r="I96" s="8"/>
      <c r="J96" s="2"/>
      <c r="K96" s="49" t="e">
        <f t="shared" si="33"/>
        <v>#DIV/0!</v>
      </c>
      <c r="L96" s="8">
        <f t="shared" si="34"/>
        <v>0</v>
      </c>
      <c r="M96" s="76">
        <f t="shared" si="35"/>
        <v>0</v>
      </c>
      <c r="N96" s="48"/>
      <c r="O96" s="40"/>
      <c r="P96" s="14"/>
      <c r="Q96" s="60">
        <f t="shared" si="32"/>
        <v>0</v>
      </c>
      <c r="R96" s="57"/>
      <c r="S96" s="57"/>
    </row>
    <row r="97" spans="1:19" ht="21" hidden="1" customHeight="1" x14ac:dyDescent="0.25">
      <c r="A97" s="7" t="s">
        <v>207</v>
      </c>
      <c r="B97" s="1" t="s">
        <v>208</v>
      </c>
      <c r="C97" s="7" t="s">
        <v>54</v>
      </c>
      <c r="D97" s="8"/>
      <c r="E97" s="8"/>
      <c r="F97" s="8"/>
      <c r="G97" s="8"/>
      <c r="H97" s="2"/>
      <c r="I97" s="8"/>
      <c r="J97" s="2"/>
      <c r="K97" s="49" t="e">
        <f t="shared" si="33"/>
        <v>#DIV/0!</v>
      </c>
      <c r="L97" s="8">
        <f t="shared" si="34"/>
        <v>0</v>
      </c>
      <c r="M97" s="76">
        <f t="shared" si="35"/>
        <v>0</v>
      </c>
      <c r="N97" s="48"/>
      <c r="O97" s="40"/>
      <c r="P97" s="14"/>
      <c r="Q97" s="60">
        <f t="shared" si="32"/>
        <v>0</v>
      </c>
      <c r="R97" s="57"/>
      <c r="S97" s="57"/>
    </row>
    <row r="98" spans="1:19" ht="21" hidden="1" customHeight="1" x14ac:dyDescent="0.25">
      <c r="A98" s="7"/>
      <c r="B98" s="1" t="s">
        <v>209</v>
      </c>
      <c r="C98" s="7" t="s">
        <v>17</v>
      </c>
      <c r="D98" s="8"/>
      <c r="E98" s="8"/>
      <c r="F98" s="8"/>
      <c r="G98" s="8"/>
      <c r="H98" s="2"/>
      <c r="I98" s="8"/>
      <c r="J98" s="2"/>
      <c r="K98" s="49" t="e">
        <f t="shared" si="33"/>
        <v>#DIV/0!</v>
      </c>
      <c r="L98" s="8">
        <f t="shared" si="34"/>
        <v>0</v>
      </c>
      <c r="M98" s="76">
        <f t="shared" si="35"/>
        <v>0</v>
      </c>
      <c r="N98" s="48"/>
      <c r="O98" s="40"/>
      <c r="P98" s="14"/>
      <c r="Q98" s="60">
        <f t="shared" si="32"/>
        <v>0</v>
      </c>
      <c r="R98" s="57"/>
      <c r="S98" s="57"/>
    </row>
    <row r="99" spans="1:19" ht="21" hidden="1" customHeight="1" x14ac:dyDescent="0.25">
      <c r="A99" s="7"/>
      <c r="B99" s="1" t="s">
        <v>210</v>
      </c>
      <c r="C99" s="7" t="s">
        <v>202</v>
      </c>
      <c r="D99" s="8"/>
      <c r="E99" s="8"/>
      <c r="F99" s="8"/>
      <c r="G99" s="8"/>
      <c r="H99" s="2"/>
      <c r="I99" s="8"/>
      <c r="J99" s="2"/>
      <c r="K99" s="49" t="e">
        <f t="shared" si="33"/>
        <v>#DIV/0!</v>
      </c>
      <c r="L99" s="8">
        <f t="shared" si="34"/>
        <v>0</v>
      </c>
      <c r="M99" s="76">
        <f t="shared" si="35"/>
        <v>0</v>
      </c>
      <c r="N99" s="48"/>
      <c r="O99" s="40"/>
      <c r="P99" s="14"/>
      <c r="Q99" s="60">
        <f t="shared" si="32"/>
        <v>0</v>
      </c>
      <c r="R99" s="57"/>
      <c r="S99" s="57"/>
    </row>
    <row r="100" spans="1:19" ht="21" hidden="1" customHeight="1" x14ac:dyDescent="0.25">
      <c r="A100" s="7" t="s">
        <v>211</v>
      </c>
      <c r="B100" s="1" t="s">
        <v>212</v>
      </c>
      <c r="C100" s="7" t="s">
        <v>54</v>
      </c>
      <c r="D100" s="8"/>
      <c r="E100" s="8"/>
      <c r="F100" s="8"/>
      <c r="G100" s="8"/>
      <c r="H100" s="2"/>
      <c r="I100" s="8"/>
      <c r="J100" s="2"/>
      <c r="K100" s="49" t="e">
        <f t="shared" si="33"/>
        <v>#DIV/0!</v>
      </c>
      <c r="L100" s="8">
        <f t="shared" si="34"/>
        <v>0</v>
      </c>
      <c r="M100" s="76">
        <f t="shared" si="35"/>
        <v>0</v>
      </c>
      <c r="N100" s="48"/>
      <c r="O100" s="40"/>
      <c r="P100" s="14"/>
      <c r="Q100" s="60">
        <f t="shared" si="32"/>
        <v>0</v>
      </c>
      <c r="R100" s="57"/>
      <c r="S100" s="57"/>
    </row>
    <row r="101" spans="1:19" ht="21" hidden="1" customHeight="1" x14ac:dyDescent="0.25">
      <c r="A101" s="7"/>
      <c r="B101" s="1" t="s">
        <v>213</v>
      </c>
      <c r="C101" s="7" t="s">
        <v>17</v>
      </c>
      <c r="D101" s="8"/>
      <c r="E101" s="8"/>
      <c r="F101" s="8"/>
      <c r="G101" s="8"/>
      <c r="H101" s="2"/>
      <c r="I101" s="8"/>
      <c r="J101" s="2"/>
      <c r="K101" s="49" t="e">
        <f t="shared" si="33"/>
        <v>#DIV/0!</v>
      </c>
      <c r="L101" s="8">
        <f t="shared" si="34"/>
        <v>0</v>
      </c>
      <c r="M101" s="76">
        <f t="shared" si="35"/>
        <v>0</v>
      </c>
      <c r="N101" s="48"/>
      <c r="O101" s="40"/>
      <c r="P101" s="14"/>
      <c r="Q101" s="60">
        <f t="shared" si="32"/>
        <v>0</v>
      </c>
      <c r="R101" s="57"/>
      <c r="S101" s="57"/>
    </row>
    <row r="102" spans="1:19" ht="21" hidden="1" customHeight="1" x14ac:dyDescent="0.25">
      <c r="A102" s="7"/>
      <c r="B102" s="1" t="s">
        <v>214</v>
      </c>
      <c r="C102" s="7" t="s">
        <v>202</v>
      </c>
      <c r="D102" s="8"/>
      <c r="E102" s="8"/>
      <c r="F102" s="8"/>
      <c r="G102" s="8"/>
      <c r="H102" s="2"/>
      <c r="I102" s="8"/>
      <c r="J102" s="2"/>
      <c r="K102" s="49" t="e">
        <f t="shared" si="33"/>
        <v>#DIV/0!</v>
      </c>
      <c r="L102" s="8">
        <f t="shared" si="34"/>
        <v>0</v>
      </c>
      <c r="M102" s="76">
        <f t="shared" si="35"/>
        <v>0</v>
      </c>
      <c r="N102" s="48"/>
      <c r="O102" s="40"/>
      <c r="P102" s="14"/>
      <c r="Q102" s="60">
        <f t="shared" si="32"/>
        <v>0</v>
      </c>
      <c r="R102" s="57"/>
      <c r="S102" s="57"/>
    </row>
    <row r="103" spans="1:19" ht="21" hidden="1" customHeight="1" x14ac:dyDescent="0.25">
      <c r="A103" s="7" t="s">
        <v>215</v>
      </c>
      <c r="B103" s="1" t="s">
        <v>216</v>
      </c>
      <c r="C103" s="7" t="s">
        <v>54</v>
      </c>
      <c r="D103" s="8"/>
      <c r="E103" s="8"/>
      <c r="F103" s="8"/>
      <c r="G103" s="8"/>
      <c r="H103" s="2"/>
      <c r="I103" s="8"/>
      <c r="J103" s="2"/>
      <c r="K103" s="49" t="e">
        <f t="shared" si="33"/>
        <v>#DIV/0!</v>
      </c>
      <c r="L103" s="8">
        <f t="shared" si="34"/>
        <v>0</v>
      </c>
      <c r="M103" s="76">
        <f t="shared" si="35"/>
        <v>0</v>
      </c>
      <c r="N103" s="48"/>
      <c r="O103" s="40"/>
      <c r="P103" s="14"/>
      <c r="Q103" s="60">
        <f t="shared" si="32"/>
        <v>0</v>
      </c>
      <c r="R103" s="57"/>
      <c r="S103" s="57"/>
    </row>
    <row r="104" spans="1:19" ht="21" hidden="1" customHeight="1" x14ac:dyDescent="0.25">
      <c r="A104" s="7"/>
      <c r="B104" s="1" t="s">
        <v>217</v>
      </c>
      <c r="C104" s="7" t="s">
        <v>17</v>
      </c>
      <c r="D104" s="8"/>
      <c r="E104" s="8"/>
      <c r="F104" s="8"/>
      <c r="G104" s="8"/>
      <c r="H104" s="2"/>
      <c r="I104" s="8"/>
      <c r="J104" s="2"/>
      <c r="K104" s="49" t="e">
        <f t="shared" si="33"/>
        <v>#DIV/0!</v>
      </c>
      <c r="L104" s="8">
        <f t="shared" si="34"/>
        <v>0</v>
      </c>
      <c r="M104" s="76">
        <f t="shared" si="35"/>
        <v>0</v>
      </c>
      <c r="N104" s="48"/>
      <c r="O104" s="40"/>
      <c r="P104" s="14"/>
      <c r="Q104" s="60">
        <f t="shared" si="32"/>
        <v>0</v>
      </c>
      <c r="R104" s="57"/>
      <c r="S104" s="57"/>
    </row>
    <row r="105" spans="1:19" ht="21" hidden="1" customHeight="1" x14ac:dyDescent="0.25">
      <c r="A105" s="7"/>
      <c r="B105" s="1" t="s">
        <v>218</v>
      </c>
      <c r="C105" s="7" t="s">
        <v>202</v>
      </c>
      <c r="D105" s="8"/>
      <c r="E105" s="8"/>
      <c r="F105" s="8"/>
      <c r="G105" s="8"/>
      <c r="H105" s="2"/>
      <c r="I105" s="8"/>
      <c r="J105" s="2"/>
      <c r="K105" s="49" t="e">
        <f t="shared" si="33"/>
        <v>#DIV/0!</v>
      </c>
      <c r="L105" s="8">
        <f t="shared" si="34"/>
        <v>0</v>
      </c>
      <c r="M105" s="76">
        <f t="shared" si="35"/>
        <v>0</v>
      </c>
      <c r="N105" s="48"/>
      <c r="O105" s="40"/>
      <c r="P105" s="14"/>
      <c r="Q105" s="60">
        <f t="shared" si="32"/>
        <v>0</v>
      </c>
      <c r="R105" s="57"/>
      <c r="S105" s="57"/>
    </row>
    <row r="106" spans="1:19" ht="28.5" customHeight="1" x14ac:dyDescent="0.25">
      <c r="A106" s="7" t="s">
        <v>219</v>
      </c>
      <c r="B106" s="1" t="s">
        <v>220</v>
      </c>
      <c r="C106" s="10" t="s">
        <v>54</v>
      </c>
      <c r="D106" s="11">
        <f>ROUND(D107,1)+ROUND(D108,1)+ROUND(D109,1)+ROUND(D110,1)+ROUND(D111,1)+ROUND(D112,1)+ROUND(D113,1)+ROUND(D114,1)</f>
        <v>0</v>
      </c>
      <c r="E106" s="11">
        <f>ROUND(E107,1)+ROUND(E108,1)+ROUND(E109,1)+ROUND(E110,1)+ROUND(E111,1)+ROUND(E112,1)+ROUND(E113,1)+ROUND(E114,1)</f>
        <v>0</v>
      </c>
      <c r="F106" s="11">
        <f>ROUND(F107,1)+ROUND(F108,1)+ROUND(F109,1)+ROUND(F110,1)+ROUND(F111,1)+ROUND(F112,1)+ROUND(F113,1)+ROUND(F114,1)</f>
        <v>35</v>
      </c>
      <c r="G106" s="11">
        <f>ROUND(G107,1)+ROUND(G108,1)+ROUND(G109,1)+ROUND(G110,1)+ROUND(G111,1)+ROUND(G112,1)+ROUND(G113,1)+ROUND(G114,1)</f>
        <v>200.29999999999998</v>
      </c>
      <c r="H106" s="2" t="s">
        <v>19</v>
      </c>
      <c r="I106" s="11">
        <v>176.3</v>
      </c>
      <c r="J106" s="11" t="e">
        <f t="shared" ref="J106:N106" si="36">ROUND(J107,1)+ROUND(J108,1)+ROUND(J109,1)+ROUND(J110,1)+ROUND(J111,1)+ROUND(J112,1)+ROUND(J113,1)+ROUND(J114,1)</f>
        <v>#VALUE!</v>
      </c>
      <c r="K106" s="11" t="e">
        <f t="shared" si="36"/>
        <v>#DIV/0!</v>
      </c>
      <c r="L106" s="11">
        <f t="shared" si="36"/>
        <v>183.5</v>
      </c>
      <c r="M106" s="77">
        <f t="shared" si="36"/>
        <v>188.7</v>
      </c>
      <c r="N106" s="11">
        <f t="shared" si="36"/>
        <v>0</v>
      </c>
      <c r="O106" s="11">
        <f>ROUND(O107,1)+ROUND(O108,1)+ROUND(O109,1)+ROUND(O110,1)+ROUND(O111,1)+ROUND(O112,1)+ROUND(O113,1)+ROUND(O114,1)</f>
        <v>178.20000000000002</v>
      </c>
      <c r="P106" s="14" t="s">
        <v>291</v>
      </c>
      <c r="Q106" s="58">
        <v>174.3</v>
      </c>
      <c r="R106" s="58">
        <v>174.3</v>
      </c>
      <c r="S106" s="58">
        <v>174.3</v>
      </c>
    </row>
    <row r="107" spans="1:19" ht="59.25" customHeight="1" x14ac:dyDescent="0.25">
      <c r="A107" s="7" t="s">
        <v>221</v>
      </c>
      <c r="B107" s="1" t="s">
        <v>222</v>
      </c>
      <c r="C107" s="7" t="s">
        <v>54</v>
      </c>
      <c r="D107" s="8"/>
      <c r="E107" s="8"/>
      <c r="F107" s="8"/>
      <c r="G107" s="8">
        <f>(G125+G129)*0.2</f>
        <v>67.085999999999999</v>
      </c>
      <c r="H107" s="2" t="s">
        <v>223</v>
      </c>
      <c r="I107" s="8">
        <v>50.434853999999994</v>
      </c>
      <c r="J107" s="2" t="s">
        <v>224</v>
      </c>
      <c r="K107" s="49" t="e">
        <f t="shared" si="33"/>
        <v>#DIV/0!</v>
      </c>
      <c r="L107" s="8">
        <f t="shared" si="34"/>
        <v>52.452248159999996</v>
      </c>
      <c r="M107" s="76">
        <f>I107*1.07</f>
        <v>53.965293779999996</v>
      </c>
      <c r="N107" s="48"/>
      <c r="O107" s="62">
        <f>O125*0.2</f>
        <v>52.320727119999994</v>
      </c>
      <c r="P107" s="1" t="s">
        <v>298</v>
      </c>
      <c r="Q107" s="60">
        <v>51.5</v>
      </c>
      <c r="R107" s="60">
        <v>51.5</v>
      </c>
      <c r="S107" s="60">
        <v>51.5</v>
      </c>
    </row>
    <row r="108" spans="1:19" ht="45" customHeight="1" x14ac:dyDescent="0.25">
      <c r="A108" s="7" t="s">
        <v>225</v>
      </c>
      <c r="B108" s="1" t="s">
        <v>226</v>
      </c>
      <c r="C108" s="7" t="s">
        <v>54</v>
      </c>
      <c r="D108" s="8"/>
      <c r="E108" s="8"/>
      <c r="F108" s="8"/>
      <c r="G108" s="8">
        <v>63.787999999999997</v>
      </c>
      <c r="H108" s="2" t="s">
        <v>227</v>
      </c>
      <c r="I108" s="8">
        <v>95.54</v>
      </c>
      <c r="J108" s="2" t="s">
        <v>228</v>
      </c>
      <c r="K108" s="49" t="e">
        <f t="shared" si="33"/>
        <v>#DIV/0!</v>
      </c>
      <c r="L108" s="8">
        <f t="shared" si="34"/>
        <v>99.36160000000001</v>
      </c>
      <c r="M108" s="76">
        <v>102.2</v>
      </c>
      <c r="N108" s="48"/>
      <c r="O108" s="62">
        <v>95.5</v>
      </c>
      <c r="P108" s="1" t="s">
        <v>315</v>
      </c>
      <c r="Q108" s="60">
        <v>95.54</v>
      </c>
      <c r="R108" s="60">
        <v>95.54</v>
      </c>
      <c r="S108" s="60">
        <v>95.54</v>
      </c>
    </row>
    <row r="109" spans="1:19" ht="53.25" customHeight="1" x14ac:dyDescent="0.25">
      <c r="A109" s="7" t="s">
        <v>229</v>
      </c>
      <c r="B109" s="1" t="s">
        <v>230</v>
      </c>
      <c r="C109" s="7" t="s">
        <v>54</v>
      </c>
      <c r="D109" s="8"/>
      <c r="E109" s="8"/>
      <c r="F109" s="8"/>
      <c r="G109" s="8">
        <v>24.4</v>
      </c>
      <c r="H109" s="2" t="s">
        <v>231</v>
      </c>
      <c r="I109" s="8">
        <v>20.391999999999999</v>
      </c>
      <c r="J109" s="2" t="s">
        <v>232</v>
      </c>
      <c r="K109" s="49" t="e">
        <f t="shared" si="33"/>
        <v>#DIV/0!</v>
      </c>
      <c r="L109" s="8">
        <f t="shared" si="34"/>
        <v>21.20768</v>
      </c>
      <c r="M109" s="76">
        <v>21.8</v>
      </c>
      <c r="N109" s="48"/>
      <c r="O109" s="40">
        <v>20.391999999999999</v>
      </c>
      <c r="P109" s="1" t="s">
        <v>303</v>
      </c>
      <c r="Q109" s="60">
        <v>24.4</v>
      </c>
      <c r="R109" s="60">
        <v>24.4</v>
      </c>
      <c r="S109" s="60">
        <v>24.4</v>
      </c>
    </row>
    <row r="110" spans="1:19" ht="48.75" customHeight="1" x14ac:dyDescent="0.25">
      <c r="A110" s="7" t="s">
        <v>233</v>
      </c>
      <c r="B110" s="1" t="s">
        <v>234</v>
      </c>
      <c r="C110" s="7" t="s">
        <v>54</v>
      </c>
      <c r="D110" s="8"/>
      <c r="E110" s="8"/>
      <c r="F110" s="8">
        <v>10</v>
      </c>
      <c r="G110" s="8">
        <v>10</v>
      </c>
      <c r="H110" s="2" t="s">
        <v>18</v>
      </c>
      <c r="I110" s="8">
        <v>10</v>
      </c>
      <c r="J110" s="2" t="s">
        <v>45</v>
      </c>
      <c r="K110" s="49">
        <f t="shared" si="33"/>
        <v>1</v>
      </c>
      <c r="L110" s="8">
        <f t="shared" si="34"/>
        <v>10.4</v>
      </c>
      <c r="M110" s="76">
        <v>10.7</v>
      </c>
      <c r="N110" s="48"/>
      <c r="O110" s="62">
        <v>10</v>
      </c>
      <c r="P110" s="1" t="s">
        <v>302</v>
      </c>
      <c r="Q110" s="60">
        <v>2.9</v>
      </c>
      <c r="R110" s="60">
        <v>2.9</v>
      </c>
      <c r="S110" s="60">
        <v>2.9</v>
      </c>
    </row>
    <row r="111" spans="1:19" ht="21" hidden="1" customHeight="1" x14ac:dyDescent="0.25">
      <c r="A111" s="7" t="s">
        <v>235</v>
      </c>
      <c r="B111" s="1" t="s">
        <v>236</v>
      </c>
      <c r="C111" s="7" t="s">
        <v>54</v>
      </c>
      <c r="D111" s="8"/>
      <c r="E111" s="8"/>
      <c r="F111" s="8"/>
      <c r="G111" s="8"/>
      <c r="H111" s="2"/>
      <c r="I111" s="8"/>
      <c r="J111" s="2"/>
      <c r="K111" s="49"/>
      <c r="L111" s="8">
        <f t="shared" si="34"/>
        <v>0</v>
      </c>
      <c r="M111" s="76">
        <f t="shared" si="35"/>
        <v>0</v>
      </c>
      <c r="N111" s="48"/>
      <c r="O111" s="40"/>
      <c r="P111" s="14"/>
      <c r="Q111" s="60">
        <f>N111*$M$28</f>
        <v>0</v>
      </c>
      <c r="R111" s="57"/>
      <c r="S111" s="57"/>
    </row>
    <row r="112" spans="1:19" ht="21" hidden="1" customHeight="1" x14ac:dyDescent="0.25">
      <c r="A112" s="7" t="s">
        <v>237</v>
      </c>
      <c r="B112" s="1" t="s">
        <v>238</v>
      </c>
      <c r="C112" s="7" t="s">
        <v>54</v>
      </c>
      <c r="D112" s="8"/>
      <c r="E112" s="8"/>
      <c r="F112" s="8"/>
      <c r="G112" s="8"/>
      <c r="H112" s="2"/>
      <c r="I112" s="8"/>
      <c r="J112" s="2"/>
      <c r="K112" s="49"/>
      <c r="L112" s="8">
        <f t="shared" si="34"/>
        <v>0</v>
      </c>
      <c r="M112" s="76">
        <f t="shared" si="35"/>
        <v>0</v>
      </c>
      <c r="N112" s="48"/>
      <c r="O112" s="40"/>
      <c r="P112" s="14"/>
      <c r="Q112" s="60">
        <f>N112*$M$28</f>
        <v>0</v>
      </c>
      <c r="R112" s="57"/>
      <c r="S112" s="57"/>
    </row>
    <row r="113" spans="1:19" ht="38.25" hidden="1" customHeight="1" x14ac:dyDescent="0.25">
      <c r="A113" s="7" t="s">
        <v>239</v>
      </c>
      <c r="B113" s="1" t="s">
        <v>240</v>
      </c>
      <c r="C113" s="7" t="s">
        <v>54</v>
      </c>
      <c r="D113" s="8"/>
      <c r="E113" s="8"/>
      <c r="F113" s="8"/>
      <c r="G113" s="8"/>
      <c r="H113" s="2"/>
      <c r="I113" s="8"/>
      <c r="J113" s="2"/>
      <c r="K113" s="49"/>
      <c r="L113" s="8">
        <f t="shared" si="34"/>
        <v>0</v>
      </c>
      <c r="M113" s="76">
        <f t="shared" si="35"/>
        <v>0</v>
      </c>
      <c r="N113" s="48"/>
      <c r="O113" s="40"/>
      <c r="P113" s="14"/>
      <c r="Q113" s="60">
        <f>N113*$M$28</f>
        <v>0</v>
      </c>
      <c r="R113" s="57"/>
      <c r="S113" s="57"/>
    </row>
    <row r="114" spans="1:19" ht="15" customHeight="1" x14ac:dyDescent="0.25">
      <c r="A114" s="7" t="s">
        <v>241</v>
      </c>
      <c r="B114" s="1" t="s">
        <v>242</v>
      </c>
      <c r="C114" s="7" t="s">
        <v>54</v>
      </c>
      <c r="D114" s="8">
        <f>D115</f>
        <v>0</v>
      </c>
      <c r="E114" s="8">
        <f>E115</f>
        <v>0</v>
      </c>
      <c r="F114" s="8">
        <f>F115</f>
        <v>25</v>
      </c>
      <c r="G114" s="8">
        <f>G115</f>
        <v>35</v>
      </c>
      <c r="H114" s="2" t="s">
        <v>19</v>
      </c>
      <c r="I114" s="8">
        <v>0</v>
      </c>
      <c r="J114" s="2" t="s">
        <v>19</v>
      </c>
      <c r="K114" s="49">
        <f t="shared" si="33"/>
        <v>0</v>
      </c>
      <c r="L114" s="8">
        <f t="shared" si="34"/>
        <v>0</v>
      </c>
      <c r="M114" s="76">
        <f t="shared" si="35"/>
        <v>0</v>
      </c>
      <c r="N114" s="48"/>
      <c r="O114" s="40">
        <v>0</v>
      </c>
      <c r="P114" s="14"/>
      <c r="Q114" s="60">
        <f>N114*$M$28</f>
        <v>0</v>
      </c>
      <c r="R114" s="60">
        <f t="shared" ref="R114:R124" si="37">Q114*$M$28</f>
        <v>0</v>
      </c>
      <c r="S114" s="60">
        <f t="shared" ref="S114:S124" si="38">R114*$M$28</f>
        <v>0</v>
      </c>
    </row>
    <row r="115" spans="1:19" ht="21" hidden="1" customHeight="1" x14ac:dyDescent="0.25">
      <c r="A115" s="7"/>
      <c r="B115" s="1" t="s">
        <v>243</v>
      </c>
      <c r="C115" s="7" t="s">
        <v>54</v>
      </c>
      <c r="D115" s="8"/>
      <c r="E115" s="8"/>
      <c r="F115" s="8">
        <v>25</v>
      </c>
      <c r="G115" s="8">
        <v>35</v>
      </c>
      <c r="H115" s="2" t="s">
        <v>244</v>
      </c>
      <c r="I115" s="8"/>
      <c r="J115" s="2" t="s">
        <v>245</v>
      </c>
      <c r="K115" s="49">
        <f t="shared" si="33"/>
        <v>0</v>
      </c>
      <c r="L115" s="8">
        <f t="shared" si="34"/>
        <v>0</v>
      </c>
      <c r="M115" s="76">
        <f t="shared" si="35"/>
        <v>0</v>
      </c>
      <c r="N115" s="48"/>
      <c r="O115" s="40"/>
      <c r="P115" s="14"/>
      <c r="Q115" s="60">
        <f t="shared" ref="Q115:Q124" si="39">N115*$M$28</f>
        <v>0</v>
      </c>
      <c r="R115" s="60">
        <f t="shared" si="37"/>
        <v>0</v>
      </c>
      <c r="S115" s="60">
        <f t="shared" si="38"/>
        <v>0</v>
      </c>
    </row>
    <row r="116" spans="1:19" ht="60.75" customHeight="1" x14ac:dyDescent="0.25">
      <c r="A116" s="7" t="s">
        <v>246</v>
      </c>
      <c r="B116" s="1" t="s">
        <v>247</v>
      </c>
      <c r="C116" s="7" t="s">
        <v>54</v>
      </c>
      <c r="D116" s="8"/>
      <c r="E116" s="8"/>
      <c r="F116" s="8">
        <v>0</v>
      </c>
      <c r="G116" s="8">
        <v>0</v>
      </c>
      <c r="H116" s="2" t="s">
        <v>22</v>
      </c>
      <c r="I116" s="8">
        <v>0</v>
      </c>
      <c r="J116" s="2" t="s">
        <v>22</v>
      </c>
      <c r="K116" s="49"/>
      <c r="L116" s="8">
        <f t="shared" si="34"/>
        <v>0</v>
      </c>
      <c r="M116" s="76">
        <f t="shared" si="35"/>
        <v>0</v>
      </c>
      <c r="N116" s="48"/>
      <c r="O116" s="40">
        <v>0</v>
      </c>
      <c r="P116" s="14"/>
      <c r="Q116" s="60">
        <f t="shared" si="39"/>
        <v>0</v>
      </c>
      <c r="R116" s="60">
        <f t="shared" si="37"/>
        <v>0</v>
      </c>
      <c r="S116" s="60">
        <f t="shared" si="38"/>
        <v>0</v>
      </c>
    </row>
    <row r="117" spans="1:19" ht="46.5" customHeight="1" x14ac:dyDescent="0.25">
      <c r="A117" s="21" t="s">
        <v>248</v>
      </c>
      <c r="B117" s="1" t="s">
        <v>249</v>
      </c>
      <c r="C117" s="7" t="s">
        <v>54</v>
      </c>
      <c r="D117" s="8"/>
      <c r="E117" s="8"/>
      <c r="F117" s="8">
        <v>0</v>
      </c>
      <c r="G117" s="8">
        <v>0</v>
      </c>
      <c r="H117" s="2" t="s">
        <v>22</v>
      </c>
      <c r="I117" s="8">
        <v>0</v>
      </c>
      <c r="J117" s="2" t="s">
        <v>22</v>
      </c>
      <c r="K117" s="49"/>
      <c r="L117" s="8">
        <f t="shared" si="34"/>
        <v>0</v>
      </c>
      <c r="M117" s="76">
        <f t="shared" si="35"/>
        <v>0</v>
      </c>
      <c r="N117" s="48"/>
      <c r="O117" s="40">
        <v>0</v>
      </c>
      <c r="P117" s="14"/>
      <c r="Q117" s="60">
        <f t="shared" si="39"/>
        <v>0</v>
      </c>
      <c r="R117" s="60">
        <f t="shared" si="37"/>
        <v>0</v>
      </c>
      <c r="S117" s="60">
        <f t="shared" si="38"/>
        <v>0</v>
      </c>
    </row>
    <row r="118" spans="1:19" ht="47.25" customHeight="1" x14ac:dyDescent="0.25">
      <c r="A118" s="7" t="s">
        <v>250</v>
      </c>
      <c r="B118" s="1" t="s">
        <v>251</v>
      </c>
      <c r="C118" s="7" t="s">
        <v>54</v>
      </c>
      <c r="D118" s="8"/>
      <c r="E118" s="8"/>
      <c r="F118" s="8">
        <v>0</v>
      </c>
      <c r="G118" s="8">
        <v>0</v>
      </c>
      <c r="H118" s="2" t="s">
        <v>22</v>
      </c>
      <c r="I118" s="8">
        <v>0</v>
      </c>
      <c r="J118" s="2" t="s">
        <v>22</v>
      </c>
      <c r="K118" s="49"/>
      <c r="L118" s="8">
        <f t="shared" si="34"/>
        <v>0</v>
      </c>
      <c r="M118" s="76">
        <f t="shared" si="35"/>
        <v>0</v>
      </c>
      <c r="N118" s="48"/>
      <c r="O118" s="40">
        <v>0</v>
      </c>
      <c r="P118" s="14"/>
      <c r="Q118" s="60">
        <f t="shared" si="39"/>
        <v>0</v>
      </c>
      <c r="R118" s="60">
        <f t="shared" si="37"/>
        <v>0</v>
      </c>
      <c r="S118" s="60">
        <f t="shared" si="38"/>
        <v>0</v>
      </c>
    </row>
    <row r="119" spans="1:19" ht="19.5" customHeight="1" x14ac:dyDescent="0.25">
      <c r="A119" s="7" t="s">
        <v>252</v>
      </c>
      <c r="B119" s="1" t="s">
        <v>253</v>
      </c>
      <c r="C119" s="7" t="s">
        <v>54</v>
      </c>
      <c r="D119" s="8"/>
      <c r="E119" s="8"/>
      <c r="F119" s="8">
        <v>0</v>
      </c>
      <c r="G119" s="8">
        <v>0</v>
      </c>
      <c r="H119" s="2" t="s">
        <v>22</v>
      </c>
      <c r="I119" s="8">
        <v>0</v>
      </c>
      <c r="J119" s="2" t="s">
        <v>22</v>
      </c>
      <c r="K119" s="49"/>
      <c r="L119" s="8">
        <f t="shared" si="34"/>
        <v>0</v>
      </c>
      <c r="M119" s="76">
        <f t="shared" si="35"/>
        <v>0</v>
      </c>
      <c r="N119" s="48"/>
      <c r="O119" s="40">
        <v>0</v>
      </c>
      <c r="P119" s="14"/>
      <c r="Q119" s="60">
        <f t="shared" si="39"/>
        <v>0</v>
      </c>
      <c r="R119" s="60">
        <f t="shared" si="37"/>
        <v>0</v>
      </c>
      <c r="S119" s="60">
        <f t="shared" si="38"/>
        <v>0</v>
      </c>
    </row>
    <row r="120" spans="1:19" ht="78.75" customHeight="1" x14ac:dyDescent="0.25">
      <c r="A120" s="7" t="s">
        <v>254</v>
      </c>
      <c r="B120" s="1" t="s">
        <v>255</v>
      </c>
      <c r="C120" s="7" t="s">
        <v>54</v>
      </c>
      <c r="D120" s="8"/>
      <c r="E120" s="8"/>
      <c r="F120" s="8">
        <v>0</v>
      </c>
      <c r="G120" s="8">
        <v>0</v>
      </c>
      <c r="H120" s="2" t="s">
        <v>22</v>
      </c>
      <c r="I120" s="8"/>
      <c r="J120" s="2" t="s">
        <v>22</v>
      </c>
      <c r="K120" s="49"/>
      <c r="L120" s="8">
        <f t="shared" si="34"/>
        <v>0</v>
      </c>
      <c r="M120" s="76">
        <f t="shared" si="35"/>
        <v>0</v>
      </c>
      <c r="N120" s="48"/>
      <c r="O120" s="40">
        <v>0</v>
      </c>
      <c r="P120" s="14"/>
      <c r="Q120" s="60">
        <f t="shared" si="39"/>
        <v>0</v>
      </c>
      <c r="R120" s="60">
        <f t="shared" si="37"/>
        <v>0</v>
      </c>
      <c r="S120" s="60">
        <f t="shared" si="38"/>
        <v>0</v>
      </c>
    </row>
    <row r="121" spans="1:19" ht="21" hidden="1" customHeight="1" x14ac:dyDescent="0.25">
      <c r="A121" s="7" t="s">
        <v>256</v>
      </c>
      <c r="B121" s="1" t="s">
        <v>257</v>
      </c>
      <c r="C121" s="7" t="s">
        <v>54</v>
      </c>
      <c r="D121" s="8"/>
      <c r="E121" s="8"/>
      <c r="F121" s="8"/>
      <c r="G121" s="8"/>
      <c r="H121" s="2"/>
      <c r="I121" s="8"/>
      <c r="J121" s="2"/>
      <c r="K121" s="49" t="e">
        <f t="shared" si="33"/>
        <v>#DIV/0!</v>
      </c>
      <c r="L121" s="8">
        <f t="shared" si="34"/>
        <v>0</v>
      </c>
      <c r="M121" s="76">
        <f t="shared" si="35"/>
        <v>0</v>
      </c>
      <c r="N121" s="48"/>
      <c r="O121" s="40"/>
      <c r="P121" s="14"/>
      <c r="Q121" s="60">
        <f t="shared" si="39"/>
        <v>0</v>
      </c>
      <c r="R121" s="60">
        <f t="shared" si="37"/>
        <v>0</v>
      </c>
      <c r="S121" s="60">
        <f t="shared" si="38"/>
        <v>0</v>
      </c>
    </row>
    <row r="122" spans="1:19" ht="21" hidden="1" customHeight="1" x14ac:dyDescent="0.25">
      <c r="A122" s="7" t="s">
        <v>258</v>
      </c>
      <c r="B122" s="1" t="s">
        <v>259</v>
      </c>
      <c r="C122" s="7" t="s">
        <v>54</v>
      </c>
      <c r="D122" s="8"/>
      <c r="E122" s="8"/>
      <c r="F122" s="8"/>
      <c r="G122" s="8"/>
      <c r="H122" s="2"/>
      <c r="I122" s="8"/>
      <c r="J122" s="2"/>
      <c r="K122" s="49" t="e">
        <f t="shared" si="33"/>
        <v>#DIV/0!</v>
      </c>
      <c r="L122" s="8">
        <f t="shared" si="34"/>
        <v>0</v>
      </c>
      <c r="M122" s="76">
        <f t="shared" si="35"/>
        <v>0</v>
      </c>
      <c r="N122" s="48"/>
      <c r="O122" s="40"/>
      <c r="P122" s="14"/>
      <c r="Q122" s="60">
        <f t="shared" si="39"/>
        <v>0</v>
      </c>
      <c r="R122" s="60">
        <f t="shared" si="37"/>
        <v>0</v>
      </c>
      <c r="S122" s="60">
        <f t="shared" si="38"/>
        <v>0</v>
      </c>
    </row>
    <row r="123" spans="1:19" ht="21" hidden="1" customHeight="1" x14ac:dyDescent="0.25">
      <c r="A123" s="7" t="s">
        <v>260</v>
      </c>
      <c r="B123" s="1" t="s">
        <v>261</v>
      </c>
      <c r="C123" s="7" t="s">
        <v>54</v>
      </c>
      <c r="D123" s="8"/>
      <c r="E123" s="8"/>
      <c r="F123" s="8"/>
      <c r="G123" s="8"/>
      <c r="H123" s="2"/>
      <c r="I123" s="8"/>
      <c r="J123" s="2"/>
      <c r="K123" s="49" t="e">
        <f t="shared" si="33"/>
        <v>#DIV/0!</v>
      </c>
      <c r="L123" s="8">
        <f t="shared" si="34"/>
        <v>0</v>
      </c>
      <c r="M123" s="76">
        <f t="shared" si="35"/>
        <v>0</v>
      </c>
      <c r="N123" s="48"/>
      <c r="O123" s="40"/>
      <c r="P123" s="14"/>
      <c r="Q123" s="60">
        <f t="shared" si="39"/>
        <v>0</v>
      </c>
      <c r="R123" s="60">
        <f t="shared" si="37"/>
        <v>0</v>
      </c>
      <c r="S123" s="60">
        <f t="shared" si="38"/>
        <v>0</v>
      </c>
    </row>
    <row r="124" spans="1:19" x14ac:dyDescent="0.25">
      <c r="A124" s="7" t="s">
        <v>20</v>
      </c>
      <c r="B124" s="14" t="s">
        <v>262</v>
      </c>
      <c r="C124" s="7" t="s">
        <v>54</v>
      </c>
      <c r="D124" s="8"/>
      <c r="E124" s="8"/>
      <c r="F124" s="8">
        <v>0</v>
      </c>
      <c r="G124" s="8">
        <v>0</v>
      </c>
      <c r="H124" s="2" t="s">
        <v>22</v>
      </c>
      <c r="I124" s="8"/>
      <c r="J124" s="2" t="s">
        <v>22</v>
      </c>
      <c r="K124" s="49">
        <v>0</v>
      </c>
      <c r="L124" s="8">
        <f t="shared" si="34"/>
        <v>0</v>
      </c>
      <c r="M124" s="76">
        <f t="shared" si="35"/>
        <v>0</v>
      </c>
      <c r="N124" s="48"/>
      <c r="O124" s="40">
        <v>0</v>
      </c>
      <c r="P124" s="14"/>
      <c r="Q124" s="60">
        <f t="shared" si="39"/>
        <v>0</v>
      </c>
      <c r="R124" s="60">
        <f t="shared" si="37"/>
        <v>0</v>
      </c>
      <c r="S124" s="60">
        <f t="shared" si="38"/>
        <v>0</v>
      </c>
    </row>
    <row r="125" spans="1:19" ht="36.75" customHeight="1" x14ac:dyDescent="0.25">
      <c r="A125" s="7" t="s">
        <v>23</v>
      </c>
      <c r="B125" s="14" t="s">
        <v>263</v>
      </c>
      <c r="C125" s="10" t="s">
        <v>54</v>
      </c>
      <c r="D125" s="11">
        <f>ROUND(D126,1)+ROUND(D127,1)+ROUND(D128,1)</f>
        <v>0</v>
      </c>
      <c r="E125" s="11">
        <f>ROUND(E126,1)+ROUND(E127,1)+ROUND(E128,1)</f>
        <v>0</v>
      </c>
      <c r="F125" s="11">
        <f>ROUND(F126,1)+ROUND(F127,1)+ROUND(F128,1)</f>
        <v>0</v>
      </c>
      <c r="G125" s="11">
        <v>229.4</v>
      </c>
      <c r="H125" s="2" t="s">
        <v>264</v>
      </c>
      <c r="I125" s="11">
        <v>252.17426999999995</v>
      </c>
      <c r="J125" s="2" t="s">
        <v>265</v>
      </c>
      <c r="K125" s="49">
        <v>0</v>
      </c>
      <c r="L125" s="11">
        <f t="shared" si="34"/>
        <v>262.26124079999994</v>
      </c>
      <c r="M125" s="77">
        <v>269.8</v>
      </c>
      <c r="N125" s="47" t="s">
        <v>287</v>
      </c>
      <c r="O125" s="40">
        <f>(2803.6+O108+O109+O110)*8.93%</f>
        <v>261.60363559999996</v>
      </c>
      <c r="P125" s="1" t="s">
        <v>296</v>
      </c>
      <c r="Q125" s="58">
        <f>281.9*1.07</f>
        <v>301.63299999999998</v>
      </c>
      <c r="R125" s="58">
        <f>Q125*1.07</f>
        <v>322.74730999999997</v>
      </c>
      <c r="S125" s="58">
        <f t="shared" ref="S125" si="40">R125*1.07</f>
        <v>345.33962170000001</v>
      </c>
    </row>
    <row r="126" spans="1:19" ht="21" hidden="1" customHeight="1" x14ac:dyDescent="0.25">
      <c r="A126" s="7" t="s">
        <v>266</v>
      </c>
      <c r="B126" s="1" t="s">
        <v>267</v>
      </c>
      <c r="C126" s="7" t="s">
        <v>54</v>
      </c>
      <c r="D126" s="8"/>
      <c r="E126" s="8"/>
      <c r="F126" s="8"/>
      <c r="G126" s="8"/>
      <c r="H126" s="2" t="s">
        <v>22</v>
      </c>
      <c r="I126" s="8"/>
      <c r="J126" s="2" t="s">
        <v>22</v>
      </c>
      <c r="K126" s="49" t="e">
        <f t="shared" si="33"/>
        <v>#DIV/0!</v>
      </c>
      <c r="L126" s="8">
        <f t="shared" si="34"/>
        <v>0</v>
      </c>
      <c r="M126" s="76">
        <f t="shared" si="35"/>
        <v>0</v>
      </c>
      <c r="N126" s="48"/>
      <c r="O126" s="40"/>
      <c r="P126" s="14"/>
      <c r="Q126" s="57"/>
      <c r="R126" s="57"/>
      <c r="S126" s="57"/>
    </row>
    <row r="127" spans="1:19" ht="21" hidden="1" customHeight="1" x14ac:dyDescent="0.25">
      <c r="A127" s="7" t="s">
        <v>268</v>
      </c>
      <c r="B127" s="1" t="s">
        <v>269</v>
      </c>
      <c r="C127" s="7" t="s">
        <v>54</v>
      </c>
      <c r="D127" s="8"/>
      <c r="E127" s="8"/>
      <c r="F127" s="8"/>
      <c r="G127" s="8"/>
      <c r="H127" s="2" t="s">
        <v>22</v>
      </c>
      <c r="I127" s="8"/>
      <c r="J127" s="2" t="s">
        <v>22</v>
      </c>
      <c r="K127" s="49" t="e">
        <f t="shared" si="33"/>
        <v>#DIV/0!</v>
      </c>
      <c r="L127" s="8">
        <f t="shared" si="34"/>
        <v>0</v>
      </c>
      <c r="M127" s="76">
        <f t="shared" si="35"/>
        <v>0</v>
      </c>
      <c r="N127" s="48"/>
      <c r="O127" s="40"/>
      <c r="P127" s="14"/>
      <c r="Q127" s="57"/>
      <c r="R127" s="57"/>
      <c r="S127" s="57"/>
    </row>
    <row r="128" spans="1:19" ht="21" hidden="1" customHeight="1" x14ac:dyDescent="0.25">
      <c r="A128" s="7" t="s">
        <v>270</v>
      </c>
      <c r="B128" s="1" t="s">
        <v>271</v>
      </c>
      <c r="C128" s="7" t="s">
        <v>54</v>
      </c>
      <c r="D128" s="8"/>
      <c r="E128" s="8"/>
      <c r="F128" s="8"/>
      <c r="G128" s="8"/>
      <c r="H128" s="2" t="s">
        <v>22</v>
      </c>
      <c r="I128" s="8"/>
      <c r="J128" s="2" t="s">
        <v>22</v>
      </c>
      <c r="K128" s="49" t="e">
        <f t="shared" si="33"/>
        <v>#DIV/0!</v>
      </c>
      <c r="L128" s="8">
        <f t="shared" si="34"/>
        <v>0</v>
      </c>
      <c r="M128" s="76">
        <f t="shared" si="35"/>
        <v>0</v>
      </c>
      <c r="N128" s="48"/>
      <c r="O128" s="40"/>
      <c r="P128" s="14"/>
      <c r="Q128" s="57"/>
      <c r="R128" s="57"/>
      <c r="S128" s="57"/>
    </row>
    <row r="129" spans="1:19" ht="28.5" customHeight="1" x14ac:dyDescent="0.25">
      <c r="A129" s="7" t="s">
        <v>25</v>
      </c>
      <c r="B129" s="1" t="s">
        <v>272</v>
      </c>
      <c r="C129" s="7" t="s">
        <v>54</v>
      </c>
      <c r="D129" s="8"/>
      <c r="E129" s="8"/>
      <c r="F129" s="8">
        <v>0</v>
      </c>
      <c r="G129" s="8">
        <f>G25/100*5</f>
        <v>106.03</v>
      </c>
      <c r="H129" s="2" t="s">
        <v>273</v>
      </c>
      <c r="I129" s="8">
        <v>112.16616729060405</v>
      </c>
      <c r="J129" s="2" t="s">
        <v>274</v>
      </c>
      <c r="K129" s="49" t="e">
        <f t="shared" si="33"/>
        <v>#DIV/0!</v>
      </c>
      <c r="L129" s="8">
        <f t="shared" si="34"/>
        <v>116.65281398222821</v>
      </c>
      <c r="M129" s="76">
        <v>120</v>
      </c>
      <c r="N129" s="48"/>
      <c r="O129" s="40">
        <f>(O24-O79)*5%</f>
        <v>111.82240087890614</v>
      </c>
      <c r="P129" s="1" t="s">
        <v>301</v>
      </c>
      <c r="Q129" s="57">
        <f>(Q24-Q79)*5%</f>
        <v>115.74389691406242</v>
      </c>
      <c r="R129" s="57">
        <f>(R24-R79)*5%</f>
        <v>120.02505279062491</v>
      </c>
      <c r="S129" s="57">
        <f>(S24-S79)*5%</f>
        <v>124.47745490224993</v>
      </c>
    </row>
    <row r="130" spans="1:19" ht="15" customHeight="1" x14ac:dyDescent="0.25">
      <c r="A130" s="10" t="s">
        <v>27</v>
      </c>
      <c r="B130" s="26" t="str">
        <f>IF(C23="да","Необходимая валовая выручка (без учета НДС)","Необходимая валовая выручка (НДС не облагается)")</f>
        <v>Необходимая валовая выручка (без учета НДС)</v>
      </c>
      <c r="C130" s="10" t="s">
        <v>54</v>
      </c>
      <c r="D130" s="11">
        <f>ROUND(D24,1)+ROUND(D124,1)+ROUND(D125,1)+ROUND(D129,1)</f>
        <v>0</v>
      </c>
      <c r="E130" s="11">
        <f>ROUND(E24,1)+ROUND(E124,1)+ROUND(E125,1)+ROUND(E129,1)</f>
        <v>2274.8000000000002</v>
      </c>
      <c r="F130" s="11">
        <f>ROUND(F24,1)+ROUND(F124,1)+ROUND(F125,1)+ROUND(F129,1)</f>
        <v>2472.1999999999998</v>
      </c>
      <c r="G130" s="11">
        <f>ROUND(G24,1)+ROUND(G124,1)+ROUND(G125,1)+ROUND(G129,1)</f>
        <v>3283.4</v>
      </c>
      <c r="H130" s="2" t="s">
        <v>275</v>
      </c>
      <c r="I130" s="11">
        <v>3162.6775111026845</v>
      </c>
      <c r="J130" s="11" t="e">
        <f>J25+J78+J86+J125+J129</f>
        <v>#VALUE!</v>
      </c>
      <c r="K130" s="11" t="e">
        <f>K25+K78+K86+K125+K129</f>
        <v>#DIV/0!</v>
      </c>
      <c r="L130" s="11">
        <f>L25+L78+L86+L125+L129</f>
        <v>3206.6516777143088</v>
      </c>
      <c r="M130" s="84">
        <f>M25+M78+M86+M125+M129</f>
        <v>3374.3228784551725</v>
      </c>
      <c r="N130" s="11"/>
      <c r="O130" s="27">
        <f>O25+O78+O86+O125+O129</f>
        <v>3187.088331177029</v>
      </c>
      <c r="P130" s="73" t="s">
        <v>300</v>
      </c>
      <c r="Q130" s="58">
        <f>O130*1.04</f>
        <v>3314.5718644241101</v>
      </c>
      <c r="R130" s="58">
        <f>Q130*1.04</f>
        <v>3447.1547390010746</v>
      </c>
      <c r="S130" s="58">
        <f>R130*1.04</f>
        <v>3585.0409285611177</v>
      </c>
    </row>
    <row r="131" spans="1:19" ht="27.75" customHeight="1" x14ac:dyDescent="0.25">
      <c r="A131" s="10" t="s">
        <v>29</v>
      </c>
      <c r="B131" s="123" t="str">
        <f>IF(C23="да","Тариф (без учета НДС)","Тариф (НДС не облагается)")</f>
        <v>Тариф (без учета НДС)</v>
      </c>
      <c r="C131" s="124" t="s">
        <v>202</v>
      </c>
      <c r="D131" s="28" t="e">
        <f>ROUND(D130,1)/ROUND(D14,1)*1000</f>
        <v>#DIV/0!</v>
      </c>
      <c r="E131" s="28"/>
      <c r="F131" s="28">
        <f>ROUND(F130,1)/ROUND(F14,1)*1000</f>
        <v>85.840277777777771</v>
      </c>
      <c r="G131" s="28">
        <f>ROUND(G130,1)/ROUND(G14,1)*1000</f>
        <v>109.89356717317089</v>
      </c>
      <c r="H131" s="2" t="s">
        <v>276</v>
      </c>
      <c r="I131" s="121">
        <v>105.85305278474746</v>
      </c>
      <c r="J131" s="117" t="s">
        <v>276</v>
      </c>
      <c r="K131" s="64">
        <f>I131/F131</f>
        <v>1.2331396813367557</v>
      </c>
      <c r="L131" s="121">
        <f t="shared" si="34"/>
        <v>110.08717489613737</v>
      </c>
      <c r="M131" s="122">
        <f>M130/M8*1000</f>
        <v>112.93670521638572</v>
      </c>
      <c r="N131" s="121"/>
      <c r="O131" s="121">
        <f>O130/O8*1000</f>
        <v>106.67006932114028</v>
      </c>
      <c r="P131" s="74" t="s">
        <v>299</v>
      </c>
      <c r="Q131" s="61">
        <f>Q130/Q8*1000</f>
        <v>110.93687209398588</v>
      </c>
      <c r="R131" s="61">
        <f>R130/R8*1000</f>
        <v>115.37434697774532</v>
      </c>
      <c r="S131" s="61">
        <f>S130/S8*1000</f>
        <v>119.98932085685514</v>
      </c>
    </row>
    <row r="132" spans="1:19" ht="15" customHeight="1" x14ac:dyDescent="0.25">
      <c r="A132" s="10" t="s">
        <v>32</v>
      </c>
      <c r="B132" s="26" t="s">
        <v>277</v>
      </c>
      <c r="C132" s="10" t="s">
        <v>31</v>
      </c>
      <c r="D132" s="10"/>
      <c r="E132" s="10"/>
      <c r="F132" s="12"/>
      <c r="G132" s="29">
        <f>G131/96.89</f>
        <v>1.1342095899800897</v>
      </c>
      <c r="H132" s="1"/>
      <c r="I132" s="12">
        <v>1.0237852878100104</v>
      </c>
      <c r="J132" s="1"/>
      <c r="K132" s="54"/>
      <c r="L132" s="12">
        <f>L131/I131</f>
        <v>1.04</v>
      </c>
      <c r="M132" s="79">
        <f>M131/I131</f>
        <v>1.0669196801158194</v>
      </c>
      <c r="N132" s="48"/>
      <c r="O132" s="44">
        <f>O131/I131</f>
        <v>1.00771840315323</v>
      </c>
      <c r="P132" s="14"/>
      <c r="Q132" s="48"/>
      <c r="R132" s="48"/>
      <c r="S132" s="48"/>
    </row>
    <row r="133" spans="1:19" ht="15" hidden="1" customHeight="1" x14ac:dyDescent="0.25">
      <c r="I133" s="30">
        <v>2610.6999999999998</v>
      </c>
      <c r="J133" s="55">
        <f>2568.7/100*8.93</f>
        <v>229.38490999999996</v>
      </c>
    </row>
    <row r="134" spans="1:19" ht="15" hidden="1" customHeight="1" x14ac:dyDescent="0.25">
      <c r="G134" s="31"/>
      <c r="I134" s="31">
        <f>I130-I125</f>
        <v>2910.5032411026846</v>
      </c>
    </row>
    <row r="136" spans="1:19" ht="18.75" x14ac:dyDescent="0.25">
      <c r="A136" s="32" t="s">
        <v>278</v>
      </c>
      <c r="B136" s="32"/>
      <c r="H136" s="104"/>
      <c r="I136" s="105"/>
      <c r="J136" s="104"/>
      <c r="K136" s="105"/>
      <c r="L136" s="104"/>
      <c r="M136" s="105"/>
      <c r="N136" s="104"/>
      <c r="O136" s="105"/>
    </row>
    <row r="137" spans="1:19" x14ac:dyDescent="0.25">
      <c r="J137" s="30"/>
      <c r="K137" s="30"/>
      <c r="M137" s="120"/>
      <c r="O137" s="30"/>
    </row>
    <row r="138" spans="1:19" x14ac:dyDescent="0.25">
      <c r="M138" s="120"/>
    </row>
    <row r="139" spans="1:19" x14ac:dyDescent="0.25">
      <c r="M139" s="120"/>
    </row>
    <row r="140" spans="1:19" x14ac:dyDescent="0.25">
      <c r="M140" s="120"/>
    </row>
    <row r="141" spans="1:19" x14ac:dyDescent="0.25">
      <c r="M141" s="120"/>
    </row>
  </sheetData>
  <mergeCells count="26">
    <mergeCell ref="P5:P6"/>
    <mergeCell ref="N5:N6"/>
    <mergeCell ref="J136:K136"/>
    <mergeCell ref="L136:M136"/>
    <mergeCell ref="N136:O136"/>
    <mergeCell ref="B7:M7"/>
    <mergeCell ref="H8:H21"/>
    <mergeCell ref="B22:M22"/>
    <mergeCell ref="H136:I136"/>
    <mergeCell ref="N18:N21"/>
    <mergeCell ref="A1:S1"/>
    <mergeCell ref="A2:S2"/>
    <mergeCell ref="A3:S3"/>
    <mergeCell ref="A4:S4"/>
    <mergeCell ref="H5:H6"/>
    <mergeCell ref="I5:I6"/>
    <mergeCell ref="J5:J6"/>
    <mergeCell ref="K5:K6"/>
    <mergeCell ref="L5:L6"/>
    <mergeCell ref="M5:M6"/>
    <mergeCell ref="A5:A6"/>
    <mergeCell ref="B5:B6"/>
    <mergeCell ref="C5:C6"/>
    <mergeCell ref="D5:E5"/>
    <mergeCell ref="G5:G6"/>
    <mergeCell ref="O5:O6"/>
  </mergeCells>
  <pageMargins left="0" right="0" top="0" bottom="0" header="0" footer="0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2021-11-19T07:08:46Z</cp:lastPrinted>
  <dcterms:created xsi:type="dcterms:W3CDTF">2020-04-13T05:57:02Z</dcterms:created>
  <dcterms:modified xsi:type="dcterms:W3CDTF">2021-11-23T08:35:29Z</dcterms:modified>
</cp:coreProperties>
</file>