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8835" tabRatio="778" firstSheet="2" activeTab="2"/>
  </bookViews>
  <sheets>
    <sheet name="Прогноз на 2009" sheetId="1" state="hidden" r:id="rId1"/>
    <sheet name="Прогноз краткий на 2009-2012" sheetId="2" state="hidden" r:id="rId2"/>
    <sheet name="Лист1" sheetId="3" r:id="rId3"/>
    <sheet name="Приложение 2" sheetId="4" state="hidden" r:id="rId4"/>
    <sheet name="Прил 3 (расчет ИФО) (2)" sheetId="5" state="hidden" r:id="rId5"/>
  </sheets>
  <definedNames>
    <definedName name="_xlnm.Print_Titles" localSheetId="1">'Прогноз краткий на 2009-2012'!$5:$6</definedName>
    <definedName name="_xlnm.Print_Titles" localSheetId="0">'Прогноз на 2009'!$5:$6</definedName>
    <definedName name="_xlnm.Print_Area" localSheetId="3">'Приложение 2'!$A$1:$AC$127</definedName>
    <definedName name="_xlnm.Print_Area" localSheetId="0">'Прогноз на 2009'!$A$1:$F$130</definedName>
  </definedNames>
  <calcPr fullCalcOnLoad="1"/>
</workbook>
</file>

<file path=xl/sharedStrings.xml><?xml version="1.0" encoding="utf-8"?>
<sst xmlns="http://schemas.openxmlformats.org/spreadsheetml/2006/main" count="674" uniqueCount="274">
  <si>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</si>
  <si>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</si>
  <si>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</si>
  <si>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</si>
  <si>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</si>
  <si>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</si>
  <si>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</si>
  <si>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</si>
  <si>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</si>
  <si>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</si>
  <si>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Строительство - всего</t>
  </si>
  <si>
    <t>Сельское хозяйство - всего</t>
  </si>
  <si>
    <t>Торговля - всего</t>
  </si>
  <si>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</si>
  <si>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</si>
  <si>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</si>
  <si>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</si>
  <si>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</si>
  <si>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</si>
  <si>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</si>
  <si>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</si>
  <si>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</si>
  <si>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</si>
  <si>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</si>
  <si>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</si>
  <si>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</si>
  <si>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</si>
  <si>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</si>
  <si>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</si>
  <si>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</si>
  <si>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</si>
  <si>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</si>
  <si>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</si>
  <si>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</si>
  <si>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</si>
  <si>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</si>
  <si>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</si>
  <si>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</si>
  <si>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</si>
  <si>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</si>
  <si>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</si>
  <si>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</si>
  <si>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</si>
  <si>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</si>
  <si>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тыс.чел.</t>
  </si>
  <si>
    <t xml:space="preserve">Уровень жизни населения 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</si>
  <si>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</si>
  <si>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</si>
  <si>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</si>
  <si>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</si>
  <si>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</si>
  <si>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</si>
  <si>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</si>
  <si>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</si>
  <si>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</si>
  <si>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</si>
  <si>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</si>
  <si>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</si>
  <si>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</si>
  <si>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</si>
  <si>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А</t>
  </si>
  <si>
    <t>ПРОМЫШЛЕННОЕ ПРОИЗВОДСТВО:</t>
  </si>
  <si>
    <t>тыс. м3</t>
  </si>
  <si>
    <t>т</t>
  </si>
  <si>
    <t>ИТОГО</t>
  </si>
  <si>
    <t xml:space="preserve"> Обрабатывающие производства (Раздел  D)</t>
  </si>
  <si>
    <t>Хлеб и хлебобулочные изделия - всего</t>
  </si>
  <si>
    <t>Пиломатериалы, включая пиломатериалы из давальческого сырья</t>
  </si>
  <si>
    <t>тыс.шт</t>
  </si>
  <si>
    <t>тыс. плотн. м3</t>
  </si>
  <si>
    <t xml:space="preserve">Производство и распределение электроэнергии, газа и воды (Раздел Е)
</t>
  </si>
  <si>
    <t>Передача электроэнергии</t>
  </si>
  <si>
    <t>Электроэнергия - всего</t>
  </si>
  <si>
    <t>Распределение электроэнергии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</si>
  <si>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</si>
  <si>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</si>
  <si>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Вывозка древесины - всего</t>
  </si>
  <si>
    <t>Сельское хозяйство</t>
  </si>
  <si>
    <t>зерно</t>
  </si>
  <si>
    <t>картофель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</si>
  <si>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</si>
  <si>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</si>
  <si>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</si>
  <si>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</si>
  <si>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</si>
  <si>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</si>
  <si>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</si>
  <si>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</si>
  <si>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</si>
  <si>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</si>
  <si>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</si>
  <si>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</si>
  <si>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</si>
  <si>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</si>
  <si>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</si>
  <si>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</si>
  <si>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</si>
  <si>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</si>
  <si>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</si>
  <si>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</si>
  <si>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</si>
  <si>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</si>
  <si>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</si>
  <si>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</si>
  <si>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</si>
  <si>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</si>
  <si>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</si>
  <si>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</si>
  <si>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
Примечание: таблица заполняется по крупным и средним предприятиям и предприятиям малого бизнеса, занимающих наибольший удельный вес в объеме отгруженных товаров, выполненных работ и услуг в соответствие с Общероссийским классификатором видов экономической деятельности ОК 029-2001 (ОКВЭД) (КДЕС Ред.1), введенным в действие постановлением Госстандарта РФ от 6 ноября 2001 г. № 454-ст
</t>
  </si>
  <si>
    <t>Производство пищевых продуктов,включая напитки, и табака - всего</t>
  </si>
  <si>
    <t>Обработка древесины и производство изделий из дерева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</si>
  <si>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</si>
  <si>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</si>
  <si>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</si>
  <si>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</si>
  <si>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</si>
  <si>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</si>
  <si>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</si>
  <si>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 xml:space="preserve">В том числе из общей численности работающих численность работников малых предприятий-всего, </t>
  </si>
  <si>
    <t xml:space="preserve">В том числе из общей численности работающих заработная плата работников бюджетной сферы, финансируемой из консолидированного местного бюджета-всего, </t>
  </si>
  <si>
    <t>Планируемые к уплате налоги, сборы и другие собственные доходы в консолидированный местный бюджет (сумма бюджетов муниципального района и городских и сельских поселений)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</si>
  <si>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</si>
  <si>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</si>
  <si>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 xml:space="preserve">Прогноз на: </t>
  </si>
  <si>
    <t>Среднемесячная начисленная заработная плата (без выплат социального характера) - всего</t>
  </si>
  <si>
    <t>Городское поселение (название)</t>
  </si>
  <si>
    <t>Приложение 2 к прогнозу</t>
  </si>
  <si>
    <t>Приложение 3 к прогнозу</t>
  </si>
  <si>
    <t xml:space="preserve">Выручка от реализации продукции, работ, услуг (в действующих ценах) - всего </t>
  </si>
  <si>
    <t>Наименование поселения и показателя</t>
  </si>
  <si>
    <t>В целом по муниципальному району**</t>
  </si>
  <si>
    <t>Численность постоянного населения - всего, чел.</t>
  </si>
  <si>
    <t>Число действующих малых предприятий - всего, ед.</t>
  </si>
  <si>
    <t>Выручка от реализации товаров (работ, услуг) - всего, тыс. руб.</t>
  </si>
  <si>
    <t>Численность работающих - всего, чел.</t>
  </si>
  <si>
    <t xml:space="preserve">в том числе  численность работников малых предприятий - всего, чел. </t>
  </si>
  <si>
    <t>Фонд оплаты труда - всего, тыс. руб.</t>
  </si>
  <si>
    <t>Планируемые к уплате налоги, сборы и другие собственные доходы в консолидированный местный бюджет (сумма бюджетов муниципального района и городских и сельских поселений) - всего, тыс. руб.</t>
  </si>
  <si>
    <t>Налоги на имущество - всего, тыс. руб</t>
  </si>
  <si>
    <t>Земельный налог - всего, тыс. руб.</t>
  </si>
  <si>
    <t>в том числе по городским и сельским поселениям:</t>
  </si>
  <si>
    <t>2007 г.</t>
  </si>
  <si>
    <t>2008 г.</t>
  </si>
  <si>
    <t>2009 г.</t>
  </si>
  <si>
    <t>**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</si>
  <si>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Планируемые к уплате налоги, сборы и другие собственные доходы в местный бюджет  - всего, тыс. руб.</t>
  </si>
  <si>
    <t>Расходы  местного бюджета  - всего, 
млн. руб.</t>
  </si>
  <si>
    <t xml:space="preserve">Производство пищевых продуктов, включая напитки, и табака (Подраздел DA)
</t>
  </si>
  <si>
    <t xml:space="preserve"> Обработка древесины и производство изделий из дерева (Подраздел DD)
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</si>
  <si>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</si>
  <si>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</si>
  <si>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</si>
  <si>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</si>
  <si>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</si>
  <si>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Объем промышленной продукции (С+D+E):</t>
  </si>
  <si>
    <t>Лесозаготовки</t>
  </si>
  <si>
    <t>Количество индивидуальных предпринимателей</t>
  </si>
  <si>
    <t>Малый бизнес-всего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</si>
  <si>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</si>
  <si>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</si>
  <si>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</si>
  <si>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</si>
  <si>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</si>
  <si>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</si>
  <si>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Индекс производства продукции,  (%) **)</t>
  </si>
  <si>
    <t>Прибыль (убыток) до налогообложения (стр. 140 ф.2  бух. баланса)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</si>
  <si>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</si>
  <si>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в том числе из общей численности работающих численность работников малых предприятий-всего </t>
  </si>
  <si>
    <t>Среднесписочная численность работающих - всего:</t>
  </si>
  <si>
    <t>Валовый совокупный доход (сумма ФОТ, выплат соцхарактера, прочих доходов), в том числе:</t>
  </si>
  <si>
    <t>2011 г.</t>
  </si>
  <si>
    <t>2010г.</t>
  </si>
  <si>
    <t>Налог на имущество - всего, тыс. руб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</si>
  <si>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</si>
  <si>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</si>
  <si>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</si>
  <si>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Прибыль (убыток) до налогооблажения  (стр. 140 ф.2  бух. баланса)</t>
  </si>
  <si>
    <t>овощи</t>
  </si>
  <si>
    <t>ОАО Баяндаевское ХПП</t>
  </si>
  <si>
    <t>Баяндаевское сельпо</t>
  </si>
  <si>
    <t>ПСК Современник</t>
  </si>
  <si>
    <t xml:space="preserve">СХПК Колос </t>
  </si>
  <si>
    <t>СХПК Путь Ленина</t>
  </si>
  <si>
    <t xml:space="preserve">  </t>
  </si>
  <si>
    <t>Факт 
2008 г.</t>
  </si>
  <si>
    <t>Оценка 
2009 г.</t>
  </si>
  <si>
    <t>Прогноз на 2010-2012 гг.</t>
  </si>
  <si>
    <t>ООО Лесная компания Тайга</t>
  </si>
  <si>
    <t>АУ Баяндаевский лесхоз</t>
  </si>
  <si>
    <t>ООО Баяндаевский лесхоз</t>
  </si>
  <si>
    <t>в т.ч.:</t>
  </si>
  <si>
    <t>ИП Баиров</t>
  </si>
  <si>
    <t>ИП Бадуев</t>
  </si>
  <si>
    <t>ИП Поронов</t>
  </si>
  <si>
    <t>ИП Шурко</t>
  </si>
  <si>
    <t>ИП Павлов</t>
  </si>
  <si>
    <t>ИП Балтухаев</t>
  </si>
  <si>
    <t>ИП Телятников</t>
  </si>
  <si>
    <t>КФХ Арбаков</t>
  </si>
  <si>
    <t>КФХ Баиров</t>
  </si>
  <si>
    <t xml:space="preserve">КФХ Мунгалов </t>
  </si>
  <si>
    <t xml:space="preserve">КФХ Павлов </t>
  </si>
  <si>
    <t>КФХ Моргоров</t>
  </si>
  <si>
    <t>КФХ Еликов</t>
  </si>
  <si>
    <t>Лесозаготовки - всего</t>
  </si>
  <si>
    <t>КФХ Павлов</t>
  </si>
  <si>
    <t>СХПК Половинка</t>
  </si>
  <si>
    <t>ООО Булга</t>
  </si>
  <si>
    <t>ООО Заря</t>
  </si>
  <si>
    <t>2012 г.</t>
  </si>
  <si>
    <t>ОАО "Баяндаевское хлебоприемное предприятие"</t>
  </si>
  <si>
    <t>Производство хлеба и мучных кондитерских изделий недлительного  хранения</t>
  </si>
  <si>
    <t>ООО Форестер ДВ</t>
  </si>
  <si>
    <t>ООО Лесная компания "Тайга"</t>
  </si>
  <si>
    <t>Итого</t>
  </si>
  <si>
    <t>Восточное отделение ООО "Иркутская энергосбытовая компания"</t>
  </si>
  <si>
    <t>ОГУЭП "Облкоммунэнерго" филиал "Усть-Ордынские электрические сети"</t>
  </si>
  <si>
    <t>АУ Баяндаевский лесхоз"</t>
  </si>
  <si>
    <t>Прогноз предоставляется 
до 10 июня 2009 года</t>
  </si>
  <si>
    <t>Оценка 
2009 года</t>
  </si>
  <si>
    <t>Форма прогноза 
до 2010 г.</t>
  </si>
  <si>
    <t>Форма прогноза - краткая до 2012 г.</t>
  </si>
  <si>
    <t>Прогноз социально-экономического развития муниципального образования "Баяндаевский район"  на 2010 г.</t>
  </si>
  <si>
    <t>Факт 
2008 года</t>
  </si>
  <si>
    <t>Прогноз на 2010 год</t>
  </si>
  <si>
    <t>дефлятор</t>
  </si>
  <si>
    <t>ИФО</t>
  </si>
  <si>
    <t>ООО "Баяндаевский лесхоз</t>
  </si>
  <si>
    <t>Прогноз социально-экономического развития муниципального образования "Баяндаевский район"  на 2010-2012 гг.</t>
  </si>
  <si>
    <t>ООО Алина</t>
  </si>
  <si>
    <t>ООО Белочка</t>
  </si>
  <si>
    <t>ООО Фермер</t>
  </si>
  <si>
    <t>ООО Елена</t>
  </si>
  <si>
    <t>ООО Вертикаль</t>
  </si>
  <si>
    <t>ООО Спутник</t>
  </si>
  <si>
    <t>ООО Биирс</t>
  </si>
  <si>
    <t>ООО Ипмульс</t>
  </si>
  <si>
    <t>ООО Хиней</t>
  </si>
  <si>
    <t>ООО Солнышко</t>
  </si>
  <si>
    <t>ООО Анна</t>
  </si>
  <si>
    <t>ООО Ласточка</t>
  </si>
  <si>
    <t>ООО Петраль</t>
  </si>
  <si>
    <t>ООО Альфа</t>
  </si>
  <si>
    <t>ООО Миф</t>
  </si>
  <si>
    <t>ООО Байкал</t>
  </si>
  <si>
    <t>ООО Булук</t>
  </si>
  <si>
    <t>ООО Байша</t>
  </si>
  <si>
    <t>ООО Ника</t>
  </si>
  <si>
    <t>ООО Век</t>
  </si>
  <si>
    <t>ООО Сибирь</t>
  </si>
  <si>
    <t>ООО Дангина</t>
  </si>
  <si>
    <t>ООО Багинова</t>
  </si>
  <si>
    <t>ООО шанс</t>
  </si>
  <si>
    <t>Транзит-ойл</t>
  </si>
  <si>
    <t>ООО Орбита</t>
  </si>
  <si>
    <t>ООО Лидер</t>
  </si>
  <si>
    <t>ООО Фортуна</t>
  </si>
  <si>
    <t>ООО Парус</t>
  </si>
  <si>
    <t>ООО Булаг</t>
  </si>
  <si>
    <t xml:space="preserve">ООО Багульник </t>
  </si>
  <si>
    <t>ООО Радуга</t>
  </si>
  <si>
    <t>ООО Сибнефть</t>
  </si>
  <si>
    <t>Расходы местного бюджета (сумма расходов бюджетов муниципального района и городских и сельских поселений) - всего, 
млн. руб.</t>
  </si>
  <si>
    <t>Расходы местного бюджета  - всего, 
тыс. руб.</t>
  </si>
  <si>
    <t>Единый сельскохозяйственный налог</t>
  </si>
  <si>
    <t xml:space="preserve">Глава администрации                                                                                  </t>
  </si>
  <si>
    <t>Консультант по бюджетному учету</t>
  </si>
  <si>
    <t>Мильхеева С.М.</t>
  </si>
  <si>
    <t>Сельское поселение "Баяндай"</t>
  </si>
  <si>
    <t xml:space="preserve">     ОЖИДАЕМЫЕ ИТОГИ СОЦИАЛЬНО-ЭКОНОМИЧЕСКОГО РАЗВИТИЯ МО "БАЯНДАЙ"                                    ЗА 9 МЕСЯЦЕВ 2020 г. </t>
  </si>
  <si>
    <t>Факт 
2019 г.</t>
  </si>
  <si>
    <t>План  2020 г.</t>
  </si>
  <si>
    <t>за 9 месяцев  2020 г.</t>
  </si>
  <si>
    <t>Андреянов З.И.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</si>
</sst>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;[Red]#,##0"/>
    <numFmt numFmtId="179" formatCode="#,##0.0"/>
    <numFmt numFmtId="180" formatCode="0.000"/>
    <numFmt numFmtId="181" formatCode="0.0000"/>
    <numFmt numFmtId="182" formatCode="#,##0.0;[Red]#,##0.0"/>
    <numFmt numFmtId="183" formatCode="#,##0.00;[Red]#,##0.00"/>
    <numFmt numFmtId="184" formatCode="#,##0.000"/>
    <numFmt numFmtId="185" formatCode="0.00000"/>
    <numFmt numFmtId="186" formatCode="0.000000"/>
  </numFmts>
  <fonts count="7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22"/>
      <name val="Arial Cyr"/>
      <family val="2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>
        <color indexed="63"/>
      </left>
      <right style="thin"/>
      <top style="dashed">
        <color indexed="23"/>
      </top>
      <bottom style="dashed">
        <color indexed="23"/>
      </bottom>
    </border>
    <border>
      <left style="thin">
        <color indexed="63"/>
      </left>
      <right style="thin"/>
      <top style="dashed">
        <color indexed="23"/>
      </top>
      <bottom style="thin">
        <color indexed="63"/>
      </bottom>
    </border>
    <border>
      <left style="thin"/>
      <right style="thin"/>
      <top style="dashed">
        <color indexed="23"/>
      </top>
      <bottom style="thin">
        <color indexed="63"/>
      </bottom>
    </border>
    <border>
      <left style="thin">
        <color indexed="63"/>
      </left>
      <right style="thin"/>
      <top style="dashed">
        <color indexed="23"/>
      </top>
      <bottom>
        <color indexed="63"/>
      </bottom>
    </border>
    <border>
      <left style="thin"/>
      <right style="thin"/>
      <top style="dashed">
        <color indexed="2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dashed">
        <color indexed="2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thin"/>
      <bottom style="dashed">
        <color indexed="23"/>
      </bottom>
    </border>
    <border>
      <left style="thin"/>
      <right style="thin"/>
      <top style="thin">
        <color indexed="63"/>
      </top>
      <bottom style="dashed">
        <color indexed="23"/>
      </bottom>
    </border>
    <border>
      <left style="thin"/>
      <right>
        <color indexed="63"/>
      </right>
      <top style="thin"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dashed">
        <color indexed="23"/>
      </bottom>
    </border>
    <border>
      <left>
        <color indexed="63"/>
      </left>
      <right style="thin"/>
      <top style="thin">
        <color indexed="63"/>
      </top>
      <bottom style="dashed">
        <color indexed="23"/>
      </bottom>
    </border>
    <border>
      <left style="thin">
        <color indexed="63"/>
      </left>
      <right style="thin"/>
      <top style="thin">
        <color indexed="63"/>
      </top>
      <bottom style="dashed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72" fontId="12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top" wrapText="1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20" fillId="4" borderId="11" xfId="0" applyFont="1" applyFill="1" applyBorder="1" applyAlignment="1">
      <alignment/>
    </xf>
    <xf numFmtId="0" fontId="20" fillId="4" borderId="12" xfId="0" applyFont="1" applyFill="1" applyBorder="1" applyAlignment="1">
      <alignment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72" fontId="1" fillId="0" borderId="17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72" fontId="1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right" wrapText="1"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0" fontId="23" fillId="0" borderId="26" xfId="0" applyFont="1" applyBorder="1" applyAlignment="1">
      <alignment horizontal="justify" vertical="center" wrapText="1"/>
    </xf>
    <xf numFmtId="0" fontId="5" fillId="0" borderId="26" xfId="0" applyFont="1" applyBorder="1" applyAlignment="1">
      <alignment/>
    </xf>
    <xf numFmtId="0" fontId="23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172" fontId="1" fillId="0" borderId="28" xfId="0" applyNumberFormat="1" applyFont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172" fontId="1" fillId="0" borderId="30" xfId="0" applyNumberFormat="1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172" fontId="1" fillId="0" borderId="32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right" wrapText="1"/>
    </xf>
    <xf numFmtId="0" fontId="4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justify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justify"/>
    </xf>
    <xf numFmtId="0" fontId="4" fillId="0" borderId="17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32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right" vertical="center" wrapText="1"/>
    </xf>
    <xf numFmtId="0" fontId="23" fillId="0" borderId="34" xfId="0" applyFont="1" applyBorder="1" applyAlignment="1">
      <alignment vertical="center" wrapText="1"/>
    </xf>
    <xf numFmtId="2" fontId="1" fillId="0" borderId="32" xfId="0" applyNumberFormat="1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7" fillId="0" borderId="12" xfId="0" applyFont="1" applyBorder="1" applyAlignment="1">
      <alignment/>
    </xf>
    <xf numFmtId="0" fontId="27" fillId="4" borderId="12" xfId="0" applyFont="1" applyFill="1" applyBorder="1" applyAlignment="1">
      <alignment/>
    </xf>
    <xf numFmtId="172" fontId="27" fillId="4" borderId="12" xfId="0" applyNumberFormat="1" applyFont="1" applyFill="1" applyBorder="1" applyAlignment="1">
      <alignment/>
    </xf>
    <xf numFmtId="2" fontId="27" fillId="0" borderId="12" xfId="0" applyNumberFormat="1" applyFont="1" applyBorder="1" applyAlignment="1">
      <alignment/>
    </xf>
    <xf numFmtId="0" fontId="27" fillId="0" borderId="11" xfId="0" applyFont="1" applyBorder="1" applyAlignment="1">
      <alignment/>
    </xf>
    <xf numFmtId="2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172" fontId="27" fillId="0" borderId="13" xfId="0" applyNumberFormat="1" applyFont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49" fontId="32" fillId="0" borderId="12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0" fontId="31" fillId="0" borderId="44" xfId="0" applyFont="1" applyFill="1" applyBorder="1" applyAlignment="1">
      <alignment wrapText="1"/>
    </xf>
    <xf numFmtId="0" fontId="17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/>
    </xf>
    <xf numFmtId="0" fontId="17" fillId="0" borderId="44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/>
    </xf>
    <xf numFmtId="0" fontId="31" fillId="0" borderId="44" xfId="0" applyFont="1" applyFill="1" applyBorder="1" applyAlignment="1">
      <alignment vertical="center" wrapText="1"/>
    </xf>
    <xf numFmtId="172" fontId="27" fillId="0" borderId="12" xfId="0" applyNumberFormat="1" applyFont="1" applyBorder="1" applyAlignment="1">
      <alignment/>
    </xf>
    <xf numFmtId="172" fontId="27" fillId="0" borderId="44" xfId="0" applyNumberFormat="1" applyFont="1" applyBorder="1" applyAlignment="1">
      <alignment/>
    </xf>
    <xf numFmtId="2" fontId="17" fillId="0" borderId="11" xfId="0" applyNumberFormat="1" applyFont="1" applyBorder="1" applyAlignment="1">
      <alignment horizontal="center"/>
    </xf>
    <xf numFmtId="2" fontId="10" fillId="0" borderId="37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28" fillId="0" borderId="36" xfId="0" applyNumberFormat="1" applyFont="1" applyFill="1" applyBorder="1" applyAlignment="1">
      <alignment horizontal="center" vertical="center"/>
    </xf>
    <xf numFmtId="2" fontId="10" fillId="0" borderId="42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2" fontId="10" fillId="0" borderId="45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2" fontId="10" fillId="0" borderId="4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left" vertical="center" wrapText="1"/>
    </xf>
    <xf numFmtId="180" fontId="10" fillId="0" borderId="36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172" fontId="35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center" wrapText="1"/>
    </xf>
    <xf numFmtId="0" fontId="34" fillId="0" borderId="55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vertical="center" wrapText="1"/>
    </xf>
    <xf numFmtId="0" fontId="30" fillId="0" borderId="61" xfId="0" applyFont="1" applyFill="1" applyBorder="1" applyAlignment="1">
      <alignment vertical="center" wrapText="1"/>
    </xf>
    <xf numFmtId="0" fontId="30" fillId="0" borderId="5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vertical="center" wrapText="1"/>
    </xf>
    <xf numFmtId="0" fontId="29" fillId="0" borderId="46" xfId="0" applyFont="1" applyFill="1" applyBorder="1" applyAlignment="1">
      <alignment vertical="center" wrapText="1"/>
    </xf>
    <xf numFmtId="0" fontId="29" fillId="0" borderId="62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 wrapText="1"/>
    </xf>
    <xf numFmtId="0" fontId="14" fillId="0" borderId="61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62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4" fillId="0" borderId="62" xfId="0" applyFont="1" applyFill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4" fillId="0" borderId="56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vertical="center" wrapText="1"/>
    </xf>
    <xf numFmtId="0" fontId="23" fillId="0" borderId="62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9" fillId="0" borderId="56" xfId="0" applyFont="1" applyFill="1" applyBorder="1" applyAlignment="1">
      <alignment vertical="center" wrapText="1"/>
    </xf>
    <xf numFmtId="0" fontId="29" fillId="0" borderId="61" xfId="0" applyFont="1" applyFill="1" applyBorder="1" applyAlignment="1">
      <alignment vertical="center" wrapText="1"/>
    </xf>
    <xf numFmtId="0" fontId="29" fillId="0" borderId="5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vertical="center" wrapText="1"/>
    </xf>
    <xf numFmtId="0" fontId="14" fillId="0" borderId="68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vertical="center" wrapText="1"/>
    </xf>
    <xf numFmtId="0" fontId="14" fillId="0" borderId="0" xfId="0" applyFont="1" applyFill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13" xfId="0" applyFont="1" applyBorder="1" applyAlignment="1">
      <alignment horizontal="center" wrapText="1"/>
    </xf>
    <xf numFmtId="0" fontId="18" fillId="0" borderId="70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0" fontId="18" fillId="0" borderId="70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justify" wrapText="1"/>
    </xf>
    <xf numFmtId="0" fontId="18" fillId="0" borderId="55" xfId="0" applyFont="1" applyBorder="1" applyAlignment="1">
      <alignment horizontal="center" vertical="justify" wrapText="1"/>
    </xf>
    <xf numFmtId="0" fontId="18" fillId="0" borderId="70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9" fillId="0" borderId="61" xfId="0" applyFont="1" applyBorder="1" applyAlignment="1">
      <alignment vertical="center" wrapText="1"/>
    </xf>
    <xf numFmtId="0" fontId="17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="75" zoomScaleNormal="75" zoomScaleSheetLayoutView="75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4" sqref="F24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6" width="15.375" style="0" customWidth="1"/>
  </cols>
  <sheetData>
    <row r="1" spans="1:6" ht="48.75" customHeight="1">
      <c r="A1" s="241" t="s">
        <v>218</v>
      </c>
      <c r="B1" s="241"/>
      <c r="C1" s="241"/>
      <c r="E1" s="248" t="s">
        <v>220</v>
      </c>
      <c r="F1" s="248"/>
    </row>
    <row r="2" spans="1:6" ht="20.25">
      <c r="A2" s="1"/>
      <c r="B2" s="2"/>
      <c r="C2" s="1"/>
      <c r="D2" s="54"/>
      <c r="E2" s="54"/>
      <c r="F2" s="54"/>
    </row>
    <row r="3" spans="1:6" ht="51" customHeight="1">
      <c r="A3" s="242" t="s">
        <v>222</v>
      </c>
      <c r="B3" s="242"/>
      <c r="C3" s="242"/>
      <c r="D3" s="242"/>
      <c r="E3" s="242"/>
      <c r="F3" s="242"/>
    </row>
    <row r="4" spans="1:6" ht="20.25">
      <c r="A4" s="43"/>
      <c r="B4" s="43"/>
      <c r="C4" s="43"/>
      <c r="D4" s="43"/>
      <c r="E4" s="43"/>
      <c r="F4" s="43"/>
    </row>
    <row r="5" spans="1:6" ht="33" customHeight="1">
      <c r="A5" s="244" t="s">
        <v>13</v>
      </c>
      <c r="B5" s="246" t="s">
        <v>14</v>
      </c>
      <c r="C5" s="244" t="s">
        <v>223</v>
      </c>
      <c r="D5" s="244" t="s">
        <v>219</v>
      </c>
      <c r="E5" s="243" t="s">
        <v>224</v>
      </c>
      <c r="F5" s="243"/>
    </row>
    <row r="6" spans="1:6" ht="33" customHeight="1">
      <c r="A6" s="245"/>
      <c r="B6" s="247"/>
      <c r="C6" s="245"/>
      <c r="D6" s="245"/>
      <c r="E6" s="52" t="s">
        <v>112</v>
      </c>
      <c r="F6" s="52" t="s">
        <v>8</v>
      </c>
    </row>
    <row r="7" spans="1:6" ht="18.75">
      <c r="A7" s="249" t="s">
        <v>15</v>
      </c>
      <c r="B7" s="249"/>
      <c r="C7" s="249"/>
      <c r="D7" s="249"/>
      <c r="E7" s="249"/>
      <c r="F7" s="249"/>
    </row>
    <row r="8" spans="1:6" ht="39">
      <c r="A8" s="57" t="s">
        <v>16</v>
      </c>
      <c r="B8" s="82" t="s">
        <v>17</v>
      </c>
      <c r="C8" s="224">
        <f>C10+C11+C13+C15+C16+C14</f>
        <v>288.57</v>
      </c>
      <c r="D8" s="224">
        <f>D10+D11+D13+D15+D16+D14</f>
        <v>345.04133929000005</v>
      </c>
      <c r="E8" s="224">
        <f>E10+E11+E13+E15+E16+E14</f>
        <v>416.4167691523013</v>
      </c>
      <c r="F8" s="224">
        <f>F10+F11+F13+F15+F16+F14</f>
        <v>416.47</v>
      </c>
    </row>
    <row r="9" spans="1:6" ht="18.75">
      <c r="A9" s="163" t="s">
        <v>18</v>
      </c>
      <c r="B9" s="126"/>
      <c r="C9" s="127"/>
      <c r="D9" s="127"/>
      <c r="E9" s="127"/>
      <c r="F9" s="128"/>
    </row>
    <row r="10" spans="1:6" ht="18.75">
      <c r="A10" s="131" t="s">
        <v>77</v>
      </c>
      <c r="B10" s="84" t="s">
        <v>17</v>
      </c>
      <c r="C10" s="86">
        <v>17.9</v>
      </c>
      <c r="D10" s="86">
        <v>12.06</v>
      </c>
      <c r="E10" s="86">
        <f>7.15+5.94</f>
        <v>13.09</v>
      </c>
      <c r="F10" s="86">
        <f>7.15+5.94</f>
        <v>13.09</v>
      </c>
    </row>
    <row r="11" spans="1:6" ht="18.75">
      <c r="A11" s="132" t="s">
        <v>98</v>
      </c>
      <c r="B11" s="84" t="s">
        <v>17</v>
      </c>
      <c r="C11" s="86">
        <v>2.94</v>
      </c>
      <c r="D11" s="86">
        <v>6.2</v>
      </c>
      <c r="E11" s="85">
        <f>3.7+4.41</f>
        <v>8.11</v>
      </c>
      <c r="F11" s="85">
        <f>3.7+4.41</f>
        <v>8.11</v>
      </c>
    </row>
    <row r="12" spans="1:6" ht="18.75">
      <c r="A12" s="133" t="s">
        <v>84</v>
      </c>
      <c r="B12" s="84" t="s">
        <v>17</v>
      </c>
      <c r="C12" s="86"/>
      <c r="D12" s="86"/>
      <c r="E12" s="85"/>
      <c r="F12" s="85"/>
    </row>
    <row r="13" spans="1:6" ht="18.75">
      <c r="A13" s="133" t="s">
        <v>85</v>
      </c>
      <c r="B13" s="84" t="s">
        <v>17</v>
      </c>
      <c r="C13" s="86">
        <v>19.88</v>
      </c>
      <c r="D13" s="86">
        <v>23.61</v>
      </c>
      <c r="E13" s="85">
        <f>15.41+4.41+6.38</f>
        <v>26.2</v>
      </c>
      <c r="F13" s="85">
        <f>15.41+4.41+6.38</f>
        <v>26.2</v>
      </c>
    </row>
    <row r="14" spans="1:6" ht="18.75">
      <c r="A14" s="133" t="s">
        <v>99</v>
      </c>
      <c r="B14" s="84" t="s">
        <v>17</v>
      </c>
      <c r="C14" s="86">
        <v>29.69</v>
      </c>
      <c r="D14" s="86">
        <f>C14*1.029*1.229</f>
        <v>37.54719129</v>
      </c>
      <c r="E14" s="86">
        <f>D14*1.002*1.078</f>
        <v>40.55682395504124</v>
      </c>
      <c r="F14" s="86">
        <v>40.6</v>
      </c>
    </row>
    <row r="15" spans="1:6" ht="18.75">
      <c r="A15" s="133" t="s">
        <v>100</v>
      </c>
      <c r="B15" s="84" t="s">
        <v>17</v>
      </c>
      <c r="C15" s="86">
        <v>11.16</v>
      </c>
      <c r="D15" s="86">
        <v>7.13</v>
      </c>
      <c r="E15" s="85">
        <f>4.3+3.37</f>
        <v>7.67</v>
      </c>
      <c r="F15" s="85">
        <f>4.3+3.37</f>
        <v>7.67</v>
      </c>
    </row>
    <row r="16" spans="1:12" ht="56.25" customHeight="1">
      <c r="A16" s="132" t="s">
        <v>2</v>
      </c>
      <c r="B16" s="84" t="s">
        <v>17</v>
      </c>
      <c r="C16" s="86">
        <v>207</v>
      </c>
      <c r="D16" s="86">
        <f>C16*1.124*1.111</f>
        <v>258.49414800000005</v>
      </c>
      <c r="E16" s="86">
        <f>D16*1.115*1.113</f>
        <v>320.78994519726007</v>
      </c>
      <c r="F16" s="86">
        <v>320.8</v>
      </c>
      <c r="L16" s="158"/>
    </row>
    <row r="17" spans="1:6" ht="18.75">
      <c r="A17" s="133" t="s">
        <v>87</v>
      </c>
      <c r="B17" s="84" t="s">
        <v>17</v>
      </c>
      <c r="C17" s="85"/>
      <c r="D17" s="85"/>
      <c r="E17" s="85"/>
      <c r="F17" s="86"/>
    </row>
    <row r="18" spans="1:6" ht="18.75">
      <c r="A18" s="133" t="s">
        <v>92</v>
      </c>
      <c r="B18" s="84" t="s">
        <v>17</v>
      </c>
      <c r="C18" s="85"/>
      <c r="D18" s="85"/>
      <c r="E18" s="85"/>
      <c r="F18" s="86"/>
    </row>
    <row r="19" spans="1:6" ht="44.25" customHeight="1">
      <c r="A19" s="134" t="s">
        <v>176</v>
      </c>
      <c r="B19" s="84" t="s">
        <v>17</v>
      </c>
      <c r="C19" s="91">
        <v>20.4</v>
      </c>
      <c r="D19" s="91">
        <v>20</v>
      </c>
      <c r="E19" s="91">
        <f>D19*1.1</f>
        <v>22</v>
      </c>
      <c r="F19" s="86">
        <v>22</v>
      </c>
    </row>
    <row r="20" spans="1:6" ht="84" customHeight="1">
      <c r="A20" s="160" t="s">
        <v>120</v>
      </c>
      <c r="B20" s="119" t="s">
        <v>17</v>
      </c>
      <c r="C20" s="120">
        <v>25.5</v>
      </c>
      <c r="D20" s="120">
        <v>20.4</v>
      </c>
      <c r="E20" s="120">
        <v>20.2</v>
      </c>
      <c r="F20" s="86">
        <v>20.2</v>
      </c>
    </row>
    <row r="21" spans="1:6" ht="18.75">
      <c r="A21" s="249" t="s">
        <v>21</v>
      </c>
      <c r="B21" s="249"/>
      <c r="C21" s="249"/>
      <c r="D21" s="249"/>
      <c r="E21" s="249"/>
      <c r="F21" s="249"/>
    </row>
    <row r="22" spans="1:6" ht="18.75">
      <c r="A22" s="161" t="s">
        <v>159</v>
      </c>
      <c r="B22" s="123"/>
      <c r="C22" s="123"/>
      <c r="D22" s="123"/>
      <c r="E22" s="123"/>
      <c r="F22" s="123"/>
    </row>
    <row r="23" spans="1:6" ht="18.75">
      <c r="A23" s="136" t="s">
        <v>154</v>
      </c>
      <c r="B23" s="84" t="s">
        <v>17</v>
      </c>
      <c r="C23" s="219">
        <f>C30+C33</f>
        <v>49.57</v>
      </c>
      <c r="D23" s="219">
        <f>D30+D33</f>
        <v>61.15719129</v>
      </c>
      <c r="E23" s="219">
        <f>E30+E33</f>
        <v>66.75682395504124</v>
      </c>
      <c r="F23" s="219">
        <f>F30+F33</f>
        <v>66.8</v>
      </c>
    </row>
    <row r="24" spans="1:6" ht="18.75">
      <c r="A24" s="136" t="s">
        <v>161</v>
      </c>
      <c r="B24" s="93" t="s">
        <v>19</v>
      </c>
      <c r="C24" s="93">
        <v>104</v>
      </c>
      <c r="D24" s="93">
        <v>108.9</v>
      </c>
      <c r="E24" s="93">
        <v>102.4</v>
      </c>
      <c r="F24" s="93">
        <v>102.4</v>
      </c>
    </row>
    <row r="25" spans="1:6" ht="18.75">
      <c r="A25" s="137" t="s">
        <v>48</v>
      </c>
      <c r="B25" s="84"/>
      <c r="C25" s="93"/>
      <c r="D25" s="93"/>
      <c r="E25" s="93"/>
      <c r="F25" s="93"/>
    </row>
    <row r="26" spans="1:6" ht="18.75">
      <c r="A26" s="135" t="s">
        <v>23</v>
      </c>
      <c r="B26" s="84"/>
      <c r="C26" s="85"/>
      <c r="D26" s="85"/>
      <c r="E26" s="85"/>
      <c r="F26" s="96"/>
    </row>
    <row r="27" spans="1:6" ht="37.5">
      <c r="A27" s="138" t="s">
        <v>22</v>
      </c>
      <c r="B27" s="84" t="s">
        <v>17</v>
      </c>
      <c r="C27" s="85"/>
      <c r="D27" s="85"/>
      <c r="E27" s="85"/>
      <c r="F27" s="96"/>
    </row>
    <row r="28" spans="1:6" ht="18.75">
      <c r="A28" s="138" t="s">
        <v>3</v>
      </c>
      <c r="B28" s="84" t="s">
        <v>19</v>
      </c>
      <c r="C28" s="85"/>
      <c r="D28" s="85"/>
      <c r="E28" s="85"/>
      <c r="F28" s="96"/>
    </row>
    <row r="29" spans="1:6" ht="18.75">
      <c r="A29" s="135" t="s">
        <v>24</v>
      </c>
      <c r="B29" s="84"/>
      <c r="C29" s="85"/>
      <c r="D29" s="85"/>
      <c r="E29" s="85"/>
      <c r="F29" s="96"/>
    </row>
    <row r="30" spans="1:6" ht="37.5">
      <c r="A30" s="139" t="s">
        <v>22</v>
      </c>
      <c r="B30" s="84" t="s">
        <v>17</v>
      </c>
      <c r="C30" s="86">
        <v>19.88</v>
      </c>
      <c r="D30" s="86">
        <v>23.61</v>
      </c>
      <c r="E30" s="85">
        <f>15.41+4.41+6.38</f>
        <v>26.2</v>
      </c>
      <c r="F30" s="85">
        <f>15.41+4.41+6.38</f>
        <v>26.2</v>
      </c>
    </row>
    <row r="31" spans="1:6" ht="18.75">
      <c r="A31" s="138" t="s">
        <v>3</v>
      </c>
      <c r="B31" s="84" t="s">
        <v>19</v>
      </c>
      <c r="C31" s="85">
        <v>103.8</v>
      </c>
      <c r="D31" s="85">
        <v>112.8</v>
      </c>
      <c r="E31" s="85">
        <v>103.7</v>
      </c>
      <c r="F31" s="85">
        <v>103.7</v>
      </c>
    </row>
    <row r="32" spans="1:6" ht="37.5" customHeight="1">
      <c r="A32" s="135" t="s">
        <v>25</v>
      </c>
      <c r="B32" s="84"/>
      <c r="C32" s="85"/>
      <c r="D32" s="85"/>
      <c r="E32" s="85"/>
      <c r="F32" s="85"/>
    </row>
    <row r="33" spans="1:6" ht="37.5">
      <c r="A33" s="139" t="s">
        <v>101</v>
      </c>
      <c r="B33" s="84" t="s">
        <v>17</v>
      </c>
      <c r="C33" s="86">
        <v>29.69</v>
      </c>
      <c r="D33" s="86">
        <f>C33*1.029*1.229</f>
        <v>37.54719129</v>
      </c>
      <c r="E33" s="86">
        <f>D33*1.002*1.078</f>
        <v>40.55682395504124</v>
      </c>
      <c r="F33" s="86">
        <v>40.6</v>
      </c>
    </row>
    <row r="34" spans="1:6" ht="18.75">
      <c r="A34" s="138" t="s">
        <v>3</v>
      </c>
      <c r="B34" s="84" t="s">
        <v>19</v>
      </c>
      <c r="C34" s="85">
        <v>104.2</v>
      </c>
      <c r="D34" s="85">
        <v>102.9</v>
      </c>
      <c r="E34" s="85">
        <v>100.2</v>
      </c>
      <c r="F34" s="85">
        <v>100.2</v>
      </c>
    </row>
    <row r="35" spans="1:6" ht="18.75">
      <c r="A35" s="140" t="s">
        <v>26</v>
      </c>
      <c r="B35" s="100"/>
      <c r="C35" s="85"/>
      <c r="D35" s="85"/>
      <c r="E35" s="141"/>
      <c r="F35" s="141"/>
    </row>
    <row r="36" spans="1:6" ht="18.75">
      <c r="A36" s="142" t="s">
        <v>27</v>
      </c>
      <c r="B36" s="84" t="s">
        <v>17</v>
      </c>
      <c r="C36" s="86">
        <v>12.83</v>
      </c>
      <c r="D36" s="85">
        <f>4.13+0.39+0.11</f>
        <v>4.63</v>
      </c>
      <c r="E36" s="85">
        <f>4.44+0.12</f>
        <v>4.5600000000000005</v>
      </c>
      <c r="F36" s="85">
        <f>4.44+0.12</f>
        <v>4.5600000000000005</v>
      </c>
    </row>
    <row r="37" spans="1:6" ht="37.5">
      <c r="A37" s="142" t="s">
        <v>4</v>
      </c>
      <c r="B37" s="84" t="s">
        <v>19</v>
      </c>
      <c r="C37" s="85">
        <v>105</v>
      </c>
      <c r="D37" s="85">
        <v>103.8</v>
      </c>
      <c r="E37" s="85">
        <v>105.5</v>
      </c>
      <c r="F37" s="85">
        <v>105.5</v>
      </c>
    </row>
    <row r="38" spans="1:6" ht="18.75">
      <c r="A38" s="143" t="s">
        <v>28</v>
      </c>
      <c r="B38" s="100"/>
      <c r="C38" s="85"/>
      <c r="D38" s="85"/>
      <c r="E38" s="141"/>
      <c r="F38" s="141"/>
    </row>
    <row r="39" spans="1:6" ht="37.5">
      <c r="A39" s="144" t="s">
        <v>5</v>
      </c>
      <c r="B39" s="84" t="s">
        <v>17</v>
      </c>
      <c r="C39" s="85">
        <v>1.52</v>
      </c>
      <c r="D39" s="85">
        <v>3</v>
      </c>
      <c r="E39" s="85">
        <v>2.5</v>
      </c>
      <c r="F39" s="85">
        <v>2.6</v>
      </c>
    </row>
    <row r="40" spans="1:6" ht="18.75">
      <c r="A40" s="144" t="s">
        <v>29</v>
      </c>
      <c r="B40" s="84" t="s">
        <v>30</v>
      </c>
      <c r="C40" s="85">
        <v>1459</v>
      </c>
      <c r="D40" s="85">
        <v>1500</v>
      </c>
      <c r="E40" s="85">
        <v>1550</v>
      </c>
      <c r="F40" s="85">
        <v>1600</v>
      </c>
    </row>
    <row r="41" spans="1:6" ht="18.75">
      <c r="A41" s="144" t="s">
        <v>31</v>
      </c>
      <c r="B41" s="84" t="s">
        <v>30</v>
      </c>
      <c r="C41" s="85">
        <v>0.11</v>
      </c>
      <c r="D41" s="85">
        <v>0.11</v>
      </c>
      <c r="E41" s="85">
        <v>0.11</v>
      </c>
      <c r="F41" s="85">
        <v>0.11</v>
      </c>
    </row>
    <row r="42" spans="1:6" ht="18.75">
      <c r="A42" s="143" t="s">
        <v>32</v>
      </c>
      <c r="B42" s="100"/>
      <c r="C42" s="85"/>
      <c r="D42" s="85"/>
      <c r="E42" s="141"/>
      <c r="F42" s="141"/>
    </row>
    <row r="43" spans="1:6" ht="18.75">
      <c r="A43" s="144" t="s">
        <v>33</v>
      </c>
      <c r="B43" s="84" t="s">
        <v>34</v>
      </c>
      <c r="C43" s="85"/>
      <c r="D43" s="85"/>
      <c r="E43" s="85"/>
      <c r="F43" s="85"/>
    </row>
    <row r="44" spans="1:6" ht="35.25" customHeight="1">
      <c r="A44" s="144" t="s">
        <v>35</v>
      </c>
      <c r="B44" s="105" t="s">
        <v>36</v>
      </c>
      <c r="C44" s="85"/>
      <c r="D44" s="85"/>
      <c r="E44" s="85"/>
      <c r="F44" s="85"/>
    </row>
    <row r="45" spans="1:6" ht="18.75">
      <c r="A45" s="143" t="s">
        <v>37</v>
      </c>
      <c r="B45" s="100"/>
      <c r="C45" s="85"/>
      <c r="D45" s="85"/>
      <c r="E45" s="141"/>
      <c r="F45" s="96"/>
    </row>
    <row r="46" spans="1:6" ht="18.75">
      <c r="A46" s="144" t="s">
        <v>38</v>
      </c>
      <c r="B46" s="84" t="s">
        <v>17</v>
      </c>
      <c r="C46" s="85">
        <v>207</v>
      </c>
      <c r="D46" s="86">
        <f>C46*1.124*1.111</f>
        <v>258.49414800000005</v>
      </c>
      <c r="E46" s="86">
        <f>D46*1.115*1.113</f>
        <v>320.78994519726007</v>
      </c>
      <c r="F46" s="104">
        <v>320.8</v>
      </c>
    </row>
    <row r="47" spans="1:6" ht="18.75">
      <c r="A47" s="144" t="s">
        <v>39</v>
      </c>
      <c r="B47" s="84" t="s">
        <v>19</v>
      </c>
      <c r="C47" s="85">
        <v>115.1</v>
      </c>
      <c r="D47" s="85">
        <v>111</v>
      </c>
      <c r="E47" s="85">
        <v>113</v>
      </c>
      <c r="F47" s="96">
        <v>113</v>
      </c>
    </row>
    <row r="48" spans="1:6" ht="18.75">
      <c r="A48" s="140" t="s">
        <v>40</v>
      </c>
      <c r="B48" s="100"/>
      <c r="C48" s="85"/>
      <c r="D48" s="85"/>
      <c r="E48" s="85"/>
      <c r="F48" s="96"/>
    </row>
    <row r="49" spans="1:6" ht="18.75">
      <c r="A49" s="142" t="s">
        <v>41</v>
      </c>
      <c r="B49" s="84" t="s">
        <v>42</v>
      </c>
      <c r="C49" s="85">
        <v>53</v>
      </c>
      <c r="D49" s="85">
        <v>57</v>
      </c>
      <c r="E49" s="85">
        <v>58</v>
      </c>
      <c r="F49" s="104">
        <v>60</v>
      </c>
    </row>
    <row r="50" spans="1:6" ht="18.75">
      <c r="A50" s="142" t="s">
        <v>160</v>
      </c>
      <c r="B50" s="84"/>
      <c r="C50" s="85"/>
      <c r="D50" s="85"/>
      <c r="E50" s="85"/>
      <c r="F50" s="104"/>
    </row>
    <row r="51" spans="1:6" ht="18.75">
      <c r="A51" s="142" t="s">
        <v>77</v>
      </c>
      <c r="B51" s="84" t="s">
        <v>42</v>
      </c>
      <c r="C51" s="85">
        <v>7</v>
      </c>
      <c r="D51" s="85">
        <v>9</v>
      </c>
      <c r="E51" s="85">
        <v>10</v>
      </c>
      <c r="F51" s="104">
        <v>12</v>
      </c>
    </row>
    <row r="52" spans="1:6" ht="18.75">
      <c r="A52" s="142" t="s">
        <v>155</v>
      </c>
      <c r="B52" s="84" t="s">
        <v>42</v>
      </c>
      <c r="C52" s="85"/>
      <c r="D52" s="85"/>
      <c r="E52" s="85"/>
      <c r="F52" s="104"/>
    </row>
    <row r="53" spans="1:6" ht="18.75">
      <c r="A53" s="142" t="s">
        <v>84</v>
      </c>
      <c r="B53" s="84" t="s">
        <v>42</v>
      </c>
      <c r="C53" s="85"/>
      <c r="D53" s="85"/>
      <c r="E53" s="85"/>
      <c r="F53" s="104"/>
    </row>
    <row r="54" spans="1:6" ht="18.75">
      <c r="A54" s="142" t="s">
        <v>85</v>
      </c>
      <c r="B54" s="84" t="s">
        <v>42</v>
      </c>
      <c r="C54" s="85">
        <v>7</v>
      </c>
      <c r="D54" s="85">
        <v>7</v>
      </c>
      <c r="E54" s="85">
        <v>7</v>
      </c>
      <c r="F54" s="104">
        <v>7</v>
      </c>
    </row>
    <row r="55" spans="1:6" ht="20.25" customHeight="1">
      <c r="A55" s="142" t="s">
        <v>86</v>
      </c>
      <c r="B55" s="84" t="s">
        <v>42</v>
      </c>
      <c r="C55" s="85"/>
      <c r="D55" s="85"/>
      <c r="E55" s="85"/>
      <c r="F55" s="104"/>
    </row>
    <row r="56" spans="1:6" ht="18.75">
      <c r="A56" s="142" t="s">
        <v>28</v>
      </c>
      <c r="B56" s="84" t="s">
        <v>42</v>
      </c>
      <c r="C56" s="85">
        <v>2</v>
      </c>
      <c r="D56" s="85">
        <v>2</v>
      </c>
      <c r="E56" s="85">
        <v>2</v>
      </c>
      <c r="F56" s="104">
        <v>2</v>
      </c>
    </row>
    <row r="57" spans="1:6" ht="18.75">
      <c r="A57" s="142" t="s">
        <v>37</v>
      </c>
      <c r="B57" s="84" t="s">
        <v>42</v>
      </c>
      <c r="C57" s="85">
        <v>37</v>
      </c>
      <c r="D57" s="85">
        <v>39</v>
      </c>
      <c r="E57" s="85">
        <v>39</v>
      </c>
      <c r="F57" s="104">
        <v>39</v>
      </c>
    </row>
    <row r="58" spans="1:6" ht="18.75">
      <c r="A58" s="142" t="s">
        <v>87</v>
      </c>
      <c r="B58" s="84" t="s">
        <v>42</v>
      </c>
      <c r="C58" s="85"/>
      <c r="D58" s="85"/>
      <c r="E58" s="85"/>
      <c r="F58" s="104"/>
    </row>
    <row r="59" spans="1:6" ht="18.75">
      <c r="A59" s="142" t="s">
        <v>92</v>
      </c>
      <c r="B59" s="84" t="s">
        <v>42</v>
      </c>
      <c r="C59" s="85"/>
      <c r="D59" s="85"/>
      <c r="E59" s="85"/>
      <c r="F59" s="104"/>
    </row>
    <row r="60" spans="1:6" ht="37.5">
      <c r="A60" s="142" t="s">
        <v>43</v>
      </c>
      <c r="B60" s="84" t="s">
        <v>19</v>
      </c>
      <c r="C60" s="91">
        <v>33.7</v>
      </c>
      <c r="D60" s="91">
        <v>40.7</v>
      </c>
      <c r="E60" s="86">
        <v>40.4</v>
      </c>
      <c r="F60" s="104">
        <v>40.7</v>
      </c>
    </row>
    <row r="61" spans="1:6" ht="18.75">
      <c r="A61" s="142" t="s">
        <v>156</v>
      </c>
      <c r="B61" s="84" t="s">
        <v>42</v>
      </c>
      <c r="C61" s="85">
        <v>170</v>
      </c>
      <c r="D61" s="85">
        <v>170</v>
      </c>
      <c r="E61" s="85">
        <v>170</v>
      </c>
      <c r="F61" s="104">
        <v>170</v>
      </c>
    </row>
    <row r="62" spans="1:6" ht="39">
      <c r="A62" s="162" t="s">
        <v>6</v>
      </c>
      <c r="B62" s="119" t="s">
        <v>17</v>
      </c>
      <c r="C62" s="120">
        <v>55.2</v>
      </c>
      <c r="D62" s="120">
        <v>53.89</v>
      </c>
      <c r="E62" s="120">
        <v>81.65</v>
      </c>
      <c r="F62" s="121">
        <v>81.65</v>
      </c>
    </row>
    <row r="63" spans="1:6" ht="18.75">
      <c r="A63" s="249" t="s">
        <v>45</v>
      </c>
      <c r="B63" s="249"/>
      <c r="C63" s="249"/>
      <c r="D63" s="249"/>
      <c r="E63" s="249"/>
      <c r="F63" s="249"/>
    </row>
    <row r="64" spans="1:6" ht="19.5">
      <c r="A64" s="159" t="s">
        <v>47</v>
      </c>
      <c r="B64" s="126" t="s">
        <v>46</v>
      </c>
      <c r="C64" s="165">
        <v>2.97</v>
      </c>
      <c r="D64" s="165">
        <v>2.89</v>
      </c>
      <c r="E64" s="165">
        <v>2.92</v>
      </c>
      <c r="F64" s="165">
        <v>2.94</v>
      </c>
    </row>
    <row r="65" spans="1:6" ht="19.5">
      <c r="A65" s="130" t="s">
        <v>48</v>
      </c>
      <c r="B65" s="84"/>
      <c r="C65" s="85"/>
      <c r="D65" s="85"/>
      <c r="E65" s="141"/>
      <c r="F65" s="91"/>
    </row>
    <row r="66" spans="1:6" ht="18.75">
      <c r="A66" s="145" t="s">
        <v>77</v>
      </c>
      <c r="B66" s="84" t="s">
        <v>46</v>
      </c>
      <c r="C66" s="85">
        <v>0.3</v>
      </c>
      <c r="D66" s="91">
        <v>0.26</v>
      </c>
      <c r="E66" s="91">
        <v>0.24</v>
      </c>
      <c r="F66" s="91">
        <v>0.24</v>
      </c>
    </row>
    <row r="67" spans="1:6" ht="18.75">
      <c r="A67" s="131" t="s">
        <v>98</v>
      </c>
      <c r="B67" s="84" t="s">
        <v>46</v>
      </c>
      <c r="C67" s="85">
        <v>0.03</v>
      </c>
      <c r="D67" s="85">
        <v>0.03</v>
      </c>
      <c r="E67" s="85">
        <v>0.03</v>
      </c>
      <c r="F67" s="91">
        <v>0.03</v>
      </c>
    </row>
    <row r="68" spans="1:6" ht="18.75">
      <c r="A68" s="146" t="s">
        <v>84</v>
      </c>
      <c r="B68" s="84" t="s">
        <v>46</v>
      </c>
      <c r="C68" s="85"/>
      <c r="D68" s="85"/>
      <c r="E68" s="85"/>
      <c r="F68" s="91"/>
    </row>
    <row r="69" spans="1:6" ht="18.75">
      <c r="A69" s="146" t="s">
        <v>85</v>
      </c>
      <c r="B69" s="84" t="s">
        <v>46</v>
      </c>
      <c r="C69" s="85">
        <v>0.05</v>
      </c>
      <c r="D69" s="85">
        <v>0.05</v>
      </c>
      <c r="E69" s="85">
        <v>0.05</v>
      </c>
      <c r="F69" s="91">
        <v>0.05</v>
      </c>
    </row>
    <row r="70" spans="1:6" ht="18.75">
      <c r="A70" s="146" t="s">
        <v>86</v>
      </c>
      <c r="B70" s="84" t="s">
        <v>46</v>
      </c>
      <c r="C70" s="85">
        <v>0.07</v>
      </c>
      <c r="D70" s="85">
        <v>0.07</v>
      </c>
      <c r="E70" s="85">
        <v>0.07</v>
      </c>
      <c r="F70" s="91">
        <v>0.07</v>
      </c>
    </row>
    <row r="71" spans="1:6" ht="18.75">
      <c r="A71" s="146" t="s">
        <v>28</v>
      </c>
      <c r="B71" s="84" t="s">
        <v>46</v>
      </c>
      <c r="C71" s="85">
        <v>0.02</v>
      </c>
      <c r="D71" s="85">
        <v>0.02</v>
      </c>
      <c r="E71" s="85">
        <v>0.02</v>
      </c>
      <c r="F71" s="91">
        <v>0.02</v>
      </c>
    </row>
    <row r="72" spans="1:6" ht="56.25">
      <c r="A72" s="132" t="s">
        <v>2</v>
      </c>
      <c r="B72" s="84"/>
      <c r="C72" s="91">
        <v>0.4</v>
      </c>
      <c r="D72" s="91">
        <v>0.39</v>
      </c>
      <c r="E72" s="91">
        <v>0.41</v>
      </c>
      <c r="F72" s="91">
        <v>0.42</v>
      </c>
    </row>
    <row r="73" spans="1:6" ht="18.75">
      <c r="A73" s="146" t="s">
        <v>87</v>
      </c>
      <c r="B73" s="84" t="s">
        <v>46</v>
      </c>
      <c r="C73" s="85">
        <v>0.13</v>
      </c>
      <c r="D73" s="85">
        <v>0.12</v>
      </c>
      <c r="E73" s="85">
        <v>0.13</v>
      </c>
      <c r="F73" s="91">
        <v>0.13</v>
      </c>
    </row>
    <row r="74" spans="1:6" ht="37.5">
      <c r="A74" s="132" t="s">
        <v>83</v>
      </c>
      <c r="B74" s="84" t="s">
        <v>46</v>
      </c>
      <c r="C74" s="85">
        <v>0.37</v>
      </c>
      <c r="D74" s="91">
        <v>0.36</v>
      </c>
      <c r="E74" s="91">
        <v>0.37</v>
      </c>
      <c r="F74" s="91">
        <v>0.38</v>
      </c>
    </row>
    <row r="75" spans="1:6" ht="18.75">
      <c r="A75" s="146" t="s">
        <v>88</v>
      </c>
      <c r="B75" s="84"/>
      <c r="C75" s="85">
        <v>1.03</v>
      </c>
      <c r="D75" s="85">
        <v>1.02</v>
      </c>
      <c r="E75" s="85">
        <v>1.03</v>
      </c>
      <c r="F75" s="91">
        <v>1.03</v>
      </c>
    </row>
    <row r="76" spans="1:6" ht="18.75">
      <c r="A76" s="146" t="s">
        <v>89</v>
      </c>
      <c r="B76" s="84"/>
      <c r="C76" s="85">
        <v>0.4</v>
      </c>
      <c r="D76" s="85">
        <v>0.4</v>
      </c>
      <c r="E76" s="85">
        <v>0.4</v>
      </c>
      <c r="F76" s="91">
        <v>0.4</v>
      </c>
    </row>
    <row r="77" spans="1:6" ht="37.5">
      <c r="A77" s="147" t="s">
        <v>90</v>
      </c>
      <c r="B77" s="84"/>
      <c r="C77" s="85">
        <v>0.16</v>
      </c>
      <c r="D77" s="85">
        <v>0.16</v>
      </c>
      <c r="E77" s="85">
        <v>0.16</v>
      </c>
      <c r="F77" s="91">
        <v>0.16</v>
      </c>
    </row>
    <row r="78" spans="1:6" ht="18.75">
      <c r="A78" s="146" t="s">
        <v>92</v>
      </c>
      <c r="B78" s="84" t="s">
        <v>46</v>
      </c>
      <c r="C78" s="85">
        <v>0.01</v>
      </c>
      <c r="D78" s="85">
        <v>0.01</v>
      </c>
      <c r="E78" s="85">
        <v>0.01</v>
      </c>
      <c r="F78" s="91">
        <v>0.01</v>
      </c>
    </row>
    <row r="79" spans="1:6" ht="54.75" customHeight="1">
      <c r="A79" s="148" t="s">
        <v>106</v>
      </c>
      <c r="B79" s="84" t="s">
        <v>46</v>
      </c>
      <c r="C79" s="91">
        <v>1.67</v>
      </c>
      <c r="D79" s="91">
        <v>1.59</v>
      </c>
      <c r="E79" s="91">
        <v>1.6</v>
      </c>
      <c r="F79" s="91">
        <v>1.6</v>
      </c>
    </row>
    <row r="80" spans="1:6" ht="18.75">
      <c r="A80" s="149" t="s">
        <v>91</v>
      </c>
      <c r="B80" s="84"/>
      <c r="C80" s="85"/>
      <c r="D80" s="85"/>
      <c r="E80" s="85"/>
      <c r="F80" s="91"/>
    </row>
    <row r="81" spans="1:6" ht="18.75">
      <c r="A81" s="150" t="s">
        <v>88</v>
      </c>
      <c r="B81" s="84" t="s">
        <v>46</v>
      </c>
      <c r="C81" s="85">
        <v>0.98</v>
      </c>
      <c r="D81" s="91">
        <v>0.96</v>
      </c>
      <c r="E81" s="85">
        <v>0.97</v>
      </c>
      <c r="F81" s="85">
        <v>0.97</v>
      </c>
    </row>
    <row r="82" spans="1:6" ht="18.75">
      <c r="A82" s="83" t="s">
        <v>93</v>
      </c>
      <c r="B82" s="84" t="s">
        <v>44</v>
      </c>
      <c r="C82" s="85">
        <v>0.31</v>
      </c>
      <c r="D82" s="91">
        <v>0.31</v>
      </c>
      <c r="E82" s="91">
        <v>0.31</v>
      </c>
      <c r="F82" s="91">
        <v>0.31</v>
      </c>
    </row>
    <row r="83" spans="1:6" ht="18.75">
      <c r="A83" s="83" t="s">
        <v>94</v>
      </c>
      <c r="B83" s="84" t="s">
        <v>46</v>
      </c>
      <c r="C83" s="85">
        <v>0.16</v>
      </c>
      <c r="D83" s="85">
        <v>0.15</v>
      </c>
      <c r="E83" s="85">
        <v>0.15</v>
      </c>
      <c r="F83" s="91">
        <v>0.15</v>
      </c>
    </row>
    <row r="84" spans="1:6" ht="18.75">
      <c r="A84" s="83" t="s">
        <v>95</v>
      </c>
      <c r="B84" s="84" t="s">
        <v>46</v>
      </c>
      <c r="C84" s="85">
        <v>0.02</v>
      </c>
      <c r="D84" s="85">
        <v>0.02</v>
      </c>
      <c r="E84" s="85">
        <v>0.02</v>
      </c>
      <c r="F84" s="91">
        <v>0.02</v>
      </c>
    </row>
    <row r="85" spans="1:6" ht="18.75">
      <c r="A85" s="83" t="s">
        <v>96</v>
      </c>
      <c r="B85" s="84" t="s">
        <v>46</v>
      </c>
      <c r="C85" s="85"/>
      <c r="D85" s="85"/>
      <c r="E85" s="85"/>
      <c r="F85" s="86"/>
    </row>
    <row r="86" spans="1:6" ht="18.75">
      <c r="A86" s="83" t="s">
        <v>97</v>
      </c>
      <c r="B86" s="84" t="s">
        <v>44</v>
      </c>
      <c r="C86" s="91">
        <v>0.2</v>
      </c>
      <c r="D86" s="91">
        <v>0.15</v>
      </c>
      <c r="E86" s="91">
        <v>0.15</v>
      </c>
      <c r="F86" s="91">
        <v>0.15</v>
      </c>
    </row>
    <row r="87" spans="1:6" ht="37.5">
      <c r="A87" s="151" t="s">
        <v>118</v>
      </c>
      <c r="B87" s="84" t="s">
        <v>46</v>
      </c>
      <c r="C87" s="91">
        <v>0.2</v>
      </c>
      <c r="D87" s="91">
        <v>0.21</v>
      </c>
      <c r="E87" s="91">
        <v>0.22</v>
      </c>
      <c r="F87" s="91">
        <v>0.23</v>
      </c>
    </row>
    <row r="88" spans="1:6" ht="19.5">
      <c r="A88" s="130" t="s">
        <v>48</v>
      </c>
      <c r="B88" s="84"/>
      <c r="C88" s="85"/>
      <c r="D88" s="85"/>
      <c r="E88" s="85"/>
      <c r="F88" s="86"/>
    </row>
    <row r="89" spans="1:6" ht="18.75">
      <c r="A89" s="152" t="s">
        <v>77</v>
      </c>
      <c r="B89" s="84" t="s">
        <v>46</v>
      </c>
      <c r="C89" s="85">
        <v>0.023</v>
      </c>
      <c r="D89" s="85">
        <v>0.025</v>
      </c>
      <c r="E89" s="85">
        <v>0.03</v>
      </c>
      <c r="F89" s="85">
        <v>0.03</v>
      </c>
    </row>
    <row r="90" spans="1:6" ht="18.75">
      <c r="A90" s="153" t="s">
        <v>98</v>
      </c>
      <c r="B90" s="84" t="s">
        <v>44</v>
      </c>
      <c r="C90" s="85">
        <v>0.01</v>
      </c>
      <c r="D90" s="85">
        <v>0.01</v>
      </c>
      <c r="E90" s="85">
        <v>0.01</v>
      </c>
      <c r="F90" s="86">
        <v>0.01</v>
      </c>
    </row>
    <row r="91" spans="1:6" ht="18.75">
      <c r="A91" s="154" t="s">
        <v>84</v>
      </c>
      <c r="B91" s="84" t="s">
        <v>46</v>
      </c>
      <c r="C91" s="85"/>
      <c r="D91" s="85"/>
      <c r="E91" s="85"/>
      <c r="F91" s="86"/>
    </row>
    <row r="92" spans="1:6" ht="18.75">
      <c r="A92" s="154" t="s">
        <v>85</v>
      </c>
      <c r="B92" s="84" t="s">
        <v>46</v>
      </c>
      <c r="C92" s="85">
        <v>0.067</v>
      </c>
      <c r="D92" s="85">
        <v>0.067</v>
      </c>
      <c r="E92" s="85">
        <v>0.067</v>
      </c>
      <c r="F92" s="91">
        <v>0.07</v>
      </c>
    </row>
    <row r="93" spans="1:6" ht="24" customHeight="1">
      <c r="A93" s="133" t="s">
        <v>86</v>
      </c>
      <c r="B93" s="84" t="s">
        <v>46</v>
      </c>
      <c r="C93" s="85"/>
      <c r="D93" s="85"/>
      <c r="E93" s="85"/>
      <c r="F93" s="86"/>
    </row>
    <row r="94" spans="1:6" ht="18.75">
      <c r="A94" s="154" t="s">
        <v>28</v>
      </c>
      <c r="B94" s="84" t="s">
        <v>44</v>
      </c>
      <c r="C94" s="85">
        <v>0.02</v>
      </c>
      <c r="D94" s="85">
        <v>0.02</v>
      </c>
      <c r="E94" s="85">
        <v>0.02</v>
      </c>
      <c r="F94" s="91">
        <v>0.02</v>
      </c>
    </row>
    <row r="95" spans="1:6" ht="18.75">
      <c r="A95" s="155" t="s">
        <v>37</v>
      </c>
      <c r="B95" s="84" t="s">
        <v>44</v>
      </c>
      <c r="C95" s="85">
        <v>0.08</v>
      </c>
      <c r="D95" s="85">
        <v>0.09</v>
      </c>
      <c r="E95" s="85">
        <v>0.09</v>
      </c>
      <c r="F95" s="91">
        <v>1.1</v>
      </c>
    </row>
    <row r="96" spans="1:6" ht="18.75">
      <c r="A96" s="154" t="s">
        <v>87</v>
      </c>
      <c r="B96" s="84" t="s">
        <v>44</v>
      </c>
      <c r="C96" s="85"/>
      <c r="D96" s="85"/>
      <c r="E96" s="85"/>
      <c r="F96" s="86"/>
    </row>
    <row r="97" spans="1:6" ht="18.75">
      <c r="A97" s="154" t="s">
        <v>92</v>
      </c>
      <c r="B97" s="84" t="s">
        <v>44</v>
      </c>
      <c r="C97" s="85"/>
      <c r="D97" s="85"/>
      <c r="E97" s="85"/>
      <c r="F97" s="91"/>
    </row>
    <row r="98" spans="1:6" ht="39">
      <c r="A98" s="134" t="s">
        <v>49</v>
      </c>
      <c r="B98" s="84" t="s">
        <v>19</v>
      </c>
      <c r="C98" s="85">
        <v>3</v>
      </c>
      <c r="D98" s="85">
        <v>4</v>
      </c>
      <c r="E98" s="85">
        <v>3.5</v>
      </c>
      <c r="F98" s="104">
        <v>3</v>
      </c>
    </row>
    <row r="99" spans="1:6" ht="19.5">
      <c r="A99" s="130" t="s">
        <v>50</v>
      </c>
      <c r="B99" s="84" t="s">
        <v>20</v>
      </c>
      <c r="C99" s="91">
        <f>C123/13910/12*1000000</f>
        <v>6234.783129642943</v>
      </c>
      <c r="D99" s="91">
        <f>D123/13997/12*1000000</f>
        <v>6505.831606772879</v>
      </c>
      <c r="E99" s="91">
        <f>E123/14046/12*1000000</f>
        <v>6936.955271963548</v>
      </c>
      <c r="F99" s="91">
        <f>F123/14046/12*1000000</f>
        <v>7001.78662964545</v>
      </c>
    </row>
    <row r="100" spans="1:6" ht="39">
      <c r="A100" s="130" t="s">
        <v>51</v>
      </c>
      <c r="B100" s="84" t="s">
        <v>20</v>
      </c>
      <c r="C100" s="96">
        <v>8058</v>
      </c>
      <c r="D100" s="231">
        <f>D124/12/D64*1000</f>
        <v>8695.501730103804</v>
      </c>
      <c r="E100" s="231">
        <f>E124/12/E64*1000</f>
        <v>9897.089041095891</v>
      </c>
      <c r="F100" s="231">
        <f>F124/12/F64*1000</f>
        <v>10000.714285714286</v>
      </c>
    </row>
    <row r="101" spans="1:6" ht="19.5">
      <c r="A101" s="130" t="s">
        <v>48</v>
      </c>
      <c r="B101" s="84"/>
      <c r="C101" s="85"/>
      <c r="D101" s="85"/>
      <c r="E101" s="141"/>
      <c r="F101" s="86"/>
    </row>
    <row r="102" spans="1:6" ht="18.75">
      <c r="A102" s="145" t="s">
        <v>77</v>
      </c>
      <c r="B102" s="84" t="s">
        <v>20</v>
      </c>
      <c r="C102" s="85">
        <v>2078</v>
      </c>
      <c r="D102" s="85">
        <v>2647</v>
      </c>
      <c r="E102" s="85">
        <f>D102*1.1</f>
        <v>2911.7000000000003</v>
      </c>
      <c r="F102" s="91">
        <f>E102*1.05</f>
        <v>3057.2850000000003</v>
      </c>
    </row>
    <row r="103" spans="1:6" ht="18.75">
      <c r="A103" s="132" t="s">
        <v>98</v>
      </c>
      <c r="B103" s="84" t="s">
        <v>20</v>
      </c>
      <c r="C103" s="85">
        <v>5131</v>
      </c>
      <c r="D103" s="85">
        <v>5515.82</v>
      </c>
      <c r="E103" s="85">
        <v>6232.8</v>
      </c>
      <c r="F103" s="91">
        <f aca="true" t="shared" si="0" ref="F103:F113">E103*1.05</f>
        <v>6544.4400000000005</v>
      </c>
    </row>
    <row r="104" spans="1:6" ht="18.75">
      <c r="A104" s="146" t="s">
        <v>84</v>
      </c>
      <c r="B104" s="84" t="s">
        <v>20</v>
      </c>
      <c r="C104" s="85"/>
      <c r="D104" s="85"/>
      <c r="E104" s="85"/>
      <c r="F104" s="91">
        <f t="shared" si="0"/>
        <v>0</v>
      </c>
    </row>
    <row r="105" spans="1:6" ht="18.75">
      <c r="A105" s="146" t="s">
        <v>85</v>
      </c>
      <c r="B105" s="84" t="s">
        <v>20</v>
      </c>
      <c r="C105" s="85">
        <v>6672.7</v>
      </c>
      <c r="D105" s="85">
        <v>7173.15</v>
      </c>
      <c r="E105" s="85">
        <v>8105.6</v>
      </c>
      <c r="F105" s="91">
        <f t="shared" si="0"/>
        <v>8510.880000000001</v>
      </c>
    </row>
    <row r="106" spans="1:6" ht="18.75">
      <c r="A106" s="146" t="s">
        <v>86</v>
      </c>
      <c r="B106" s="84" t="s">
        <v>20</v>
      </c>
      <c r="C106" s="85">
        <v>4247.2</v>
      </c>
      <c r="D106" s="85">
        <v>4565.74</v>
      </c>
      <c r="E106" s="85">
        <v>5159.3</v>
      </c>
      <c r="F106" s="91">
        <f t="shared" si="0"/>
        <v>5417.265</v>
      </c>
    </row>
    <row r="107" spans="1:6" ht="18.75">
      <c r="A107" s="146" t="s">
        <v>28</v>
      </c>
      <c r="B107" s="84" t="s">
        <v>20</v>
      </c>
      <c r="C107" s="85">
        <v>4463.5</v>
      </c>
      <c r="D107" s="85">
        <v>4798.26</v>
      </c>
      <c r="E107" s="85">
        <v>5422.1</v>
      </c>
      <c r="F107" s="91">
        <f t="shared" si="0"/>
        <v>5693.205000000001</v>
      </c>
    </row>
    <row r="108" spans="1:6" ht="56.25">
      <c r="A108" s="155" t="s">
        <v>2</v>
      </c>
      <c r="B108" s="84"/>
      <c r="C108" s="85">
        <v>5440.5</v>
      </c>
      <c r="D108" s="85">
        <v>5848.53</v>
      </c>
      <c r="E108" s="85">
        <v>6608.8</v>
      </c>
      <c r="F108" s="91">
        <f t="shared" si="0"/>
        <v>6939.240000000001</v>
      </c>
    </row>
    <row r="109" spans="1:6" ht="18.75">
      <c r="A109" s="146" t="s">
        <v>87</v>
      </c>
      <c r="B109" s="84" t="s">
        <v>20</v>
      </c>
      <c r="C109" s="85"/>
      <c r="D109" s="85"/>
      <c r="E109" s="85"/>
      <c r="F109" s="91">
        <f t="shared" si="0"/>
        <v>0</v>
      </c>
    </row>
    <row r="110" spans="1:6" ht="37.5">
      <c r="A110" s="132" t="s">
        <v>83</v>
      </c>
      <c r="B110" s="84" t="s">
        <v>20</v>
      </c>
      <c r="C110" s="85">
        <v>16742.11</v>
      </c>
      <c r="D110" s="85">
        <v>17411.8</v>
      </c>
      <c r="E110" s="85">
        <v>19327.1</v>
      </c>
      <c r="F110" s="91">
        <v>19906.9</v>
      </c>
    </row>
    <row r="111" spans="1:6" ht="18.75">
      <c r="A111" s="146" t="s">
        <v>88</v>
      </c>
      <c r="B111" s="84" t="s">
        <v>20</v>
      </c>
      <c r="C111" s="85">
        <v>6797.05</v>
      </c>
      <c r="D111" s="85">
        <v>7272.84</v>
      </c>
      <c r="E111" s="85">
        <v>8218.3</v>
      </c>
      <c r="F111" s="91">
        <f t="shared" si="0"/>
        <v>8629.215</v>
      </c>
    </row>
    <row r="112" spans="1:6" ht="18.75">
      <c r="A112" s="146" t="s">
        <v>89</v>
      </c>
      <c r="B112" s="84" t="s">
        <v>20</v>
      </c>
      <c r="C112" s="85">
        <v>9654.07</v>
      </c>
      <c r="D112" s="85">
        <v>10378.12</v>
      </c>
      <c r="E112" s="85">
        <v>11727.3</v>
      </c>
      <c r="F112" s="91">
        <f t="shared" si="0"/>
        <v>12313.664999999999</v>
      </c>
    </row>
    <row r="113" spans="1:6" ht="37.5">
      <c r="A113" s="147" t="s">
        <v>90</v>
      </c>
      <c r="B113" s="84" t="s">
        <v>20</v>
      </c>
      <c r="C113" s="85">
        <v>5136.23</v>
      </c>
      <c r="D113" s="85">
        <v>5521.44</v>
      </c>
      <c r="E113" s="85">
        <v>6239.2</v>
      </c>
      <c r="F113" s="91">
        <f t="shared" si="0"/>
        <v>6551.16</v>
      </c>
    </row>
    <row r="114" spans="1:6" ht="18.75">
      <c r="A114" s="146" t="s">
        <v>92</v>
      </c>
      <c r="B114" s="84" t="s">
        <v>20</v>
      </c>
      <c r="C114" s="85"/>
      <c r="D114" s="85"/>
      <c r="E114" s="85"/>
      <c r="F114" s="85"/>
    </row>
    <row r="115" spans="1:6" ht="60" customHeight="1">
      <c r="A115" s="148" t="s">
        <v>119</v>
      </c>
      <c r="B115" s="84" t="s">
        <v>20</v>
      </c>
      <c r="C115" s="85">
        <v>8953.79</v>
      </c>
      <c r="D115" s="85">
        <v>9580.55</v>
      </c>
      <c r="E115" s="85">
        <v>10299.09</v>
      </c>
      <c r="F115" s="91">
        <f>E115*1.05</f>
        <v>10814.0445</v>
      </c>
    </row>
    <row r="116" spans="1:6" ht="18.75">
      <c r="A116" s="149" t="s">
        <v>91</v>
      </c>
      <c r="B116" s="84"/>
      <c r="C116" s="85"/>
      <c r="D116" s="85"/>
      <c r="E116" s="85"/>
      <c r="F116" s="85"/>
    </row>
    <row r="117" spans="1:6" ht="18.75">
      <c r="A117" s="150" t="s">
        <v>88</v>
      </c>
      <c r="B117" s="84" t="s">
        <v>20</v>
      </c>
      <c r="C117" s="85">
        <v>6794.3</v>
      </c>
      <c r="D117" s="85">
        <v>7269.9</v>
      </c>
      <c r="E117" s="85">
        <v>7815.14</v>
      </c>
      <c r="F117" s="91">
        <f aca="true" t="shared" si="1" ref="F117:F122">E117*1.05</f>
        <v>8205.897</v>
      </c>
    </row>
    <row r="118" spans="1:6" ht="18.75">
      <c r="A118" s="83" t="s">
        <v>93</v>
      </c>
      <c r="B118" s="84" t="s">
        <v>20</v>
      </c>
      <c r="C118" s="85">
        <v>10482.8</v>
      </c>
      <c r="D118" s="85">
        <v>11216.59</v>
      </c>
      <c r="E118" s="85">
        <v>12057.83</v>
      </c>
      <c r="F118" s="91">
        <f t="shared" si="1"/>
        <v>12660.7215</v>
      </c>
    </row>
    <row r="119" spans="1:6" ht="18.75">
      <c r="A119" s="83" t="s">
        <v>94</v>
      </c>
      <c r="B119" s="84" t="s">
        <v>20</v>
      </c>
      <c r="C119" s="85">
        <v>5103.9</v>
      </c>
      <c r="D119" s="85">
        <v>5461.17</v>
      </c>
      <c r="E119" s="85">
        <v>5870.75</v>
      </c>
      <c r="F119" s="91">
        <f t="shared" si="1"/>
        <v>6164.2875</v>
      </c>
    </row>
    <row r="120" spans="1:6" ht="18.75">
      <c r="A120" s="83" t="s">
        <v>95</v>
      </c>
      <c r="B120" s="84" t="s">
        <v>20</v>
      </c>
      <c r="C120" s="85">
        <v>8348</v>
      </c>
      <c r="D120" s="85">
        <v>8932.36</v>
      </c>
      <c r="E120" s="85">
        <v>9602.28</v>
      </c>
      <c r="F120" s="91">
        <f t="shared" si="1"/>
        <v>10082.394</v>
      </c>
    </row>
    <row r="121" spans="1:6" ht="18.75">
      <c r="A121" s="83" t="s">
        <v>96</v>
      </c>
      <c r="B121" s="84" t="s">
        <v>20</v>
      </c>
      <c r="C121" s="85"/>
      <c r="D121" s="85"/>
      <c r="E121" s="85"/>
      <c r="F121" s="91">
        <f t="shared" si="1"/>
        <v>0</v>
      </c>
    </row>
    <row r="122" spans="1:6" ht="18.75">
      <c r="A122" s="83" t="s">
        <v>97</v>
      </c>
      <c r="B122" s="84" t="s">
        <v>20</v>
      </c>
      <c r="C122" s="85">
        <v>14721.8</v>
      </c>
      <c r="D122" s="85">
        <v>15752.32</v>
      </c>
      <c r="E122" s="85">
        <v>16933.74</v>
      </c>
      <c r="F122" s="91">
        <f t="shared" si="1"/>
        <v>17780.427000000003</v>
      </c>
    </row>
    <row r="123" spans="1:6" ht="42.75" customHeight="1">
      <c r="A123" s="87" t="s">
        <v>169</v>
      </c>
      <c r="B123" s="84" t="s">
        <v>17</v>
      </c>
      <c r="C123" s="85">
        <v>1040.71</v>
      </c>
      <c r="D123" s="91">
        <f>C123*1.05</f>
        <v>1092.7455</v>
      </c>
      <c r="E123" s="91">
        <f>D123*1.07</f>
        <v>1169.237685</v>
      </c>
      <c r="F123" s="91">
        <f>D123*1.08</f>
        <v>1180.16514</v>
      </c>
    </row>
    <row r="124" spans="1:6" ht="19.5">
      <c r="A124" s="88" t="s">
        <v>53</v>
      </c>
      <c r="B124" s="84" t="s">
        <v>17</v>
      </c>
      <c r="C124" s="85">
        <v>287.2</v>
      </c>
      <c r="D124" s="85">
        <f>C124*1.05</f>
        <v>301.56</v>
      </c>
      <c r="E124" s="91">
        <f>D124*1.15</f>
        <v>346.794</v>
      </c>
      <c r="F124" s="91">
        <f>D124*1.17</f>
        <v>352.8252</v>
      </c>
    </row>
    <row r="125" spans="1:6" ht="18.75">
      <c r="A125" s="44" t="s">
        <v>52</v>
      </c>
      <c r="B125" s="84" t="s">
        <v>20</v>
      </c>
      <c r="C125" s="85">
        <v>693400</v>
      </c>
      <c r="D125" s="85">
        <v>700000</v>
      </c>
      <c r="E125" s="85">
        <v>700000</v>
      </c>
      <c r="F125" s="85">
        <v>700000</v>
      </c>
    </row>
    <row r="126" spans="1:6" ht="18.75">
      <c r="A126" s="164" t="s">
        <v>7</v>
      </c>
      <c r="B126" s="156" t="s">
        <v>17</v>
      </c>
      <c r="C126" s="157"/>
      <c r="D126" s="157"/>
      <c r="E126" s="157"/>
      <c r="F126" s="157"/>
    </row>
    <row r="127" spans="1:6" ht="18.75">
      <c r="A127" s="25"/>
      <c r="B127" s="26"/>
      <c r="C127" s="27"/>
      <c r="D127" s="27"/>
      <c r="E127" s="27"/>
      <c r="F127" s="28"/>
    </row>
    <row r="128" spans="1:6" ht="18.75">
      <c r="A128" s="251" t="s">
        <v>121</v>
      </c>
      <c r="B128" s="251"/>
      <c r="C128" s="251"/>
      <c r="D128" s="251"/>
      <c r="E128" s="251"/>
      <c r="F128" s="251"/>
    </row>
    <row r="129" spans="1:6" ht="60" customHeight="1">
      <c r="A129" s="252" t="s">
        <v>54</v>
      </c>
      <c r="B129" s="252"/>
      <c r="C129" s="252"/>
      <c r="D129" s="252"/>
      <c r="E129" s="252"/>
      <c r="F129" s="252"/>
    </row>
    <row r="130" spans="1:6" ht="47.25" customHeight="1">
      <c r="A130" s="250" t="s">
        <v>107</v>
      </c>
      <c r="B130" s="250"/>
      <c r="C130" s="250"/>
      <c r="D130" s="250"/>
      <c r="E130" s="250"/>
      <c r="F130" s="250"/>
    </row>
    <row r="131" spans="1:6" ht="15.75">
      <c r="A131" s="3"/>
      <c r="B131" s="4"/>
      <c r="C131" s="5"/>
      <c r="D131" s="5"/>
      <c r="E131" s="5"/>
      <c r="F131" s="6"/>
    </row>
  </sheetData>
  <sheetProtection/>
  <mergeCells count="14">
    <mergeCell ref="A7:F7"/>
    <mergeCell ref="A21:F21"/>
    <mergeCell ref="A130:F130"/>
    <mergeCell ref="A63:F63"/>
    <mergeCell ref="A128:F128"/>
    <mergeCell ref="A129:F129"/>
    <mergeCell ref="A1:C1"/>
    <mergeCell ref="A3:F3"/>
    <mergeCell ref="E5:F5"/>
    <mergeCell ref="A5:A6"/>
    <mergeCell ref="B5:B6"/>
    <mergeCell ref="C5:C6"/>
    <mergeCell ref="D5:D6"/>
    <mergeCell ref="E1:F1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portrait" paperSize="9" scale="64" r:id="rId1"/>
  <rowBreaks count="2" manualBreakCount="2">
    <brk id="44" max="5" man="1"/>
    <brk id="9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5" zoomScaleNormal="75" zoomScaleSheetLayoutView="75" zoomScalePageLayoutView="0" workbookViewId="0" topLeftCell="A1">
      <pane ySplit="6" topLeftCell="A25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74.75390625" style="0" customWidth="1"/>
    <col min="2" max="2" width="12.75390625" style="0" customWidth="1"/>
    <col min="3" max="6" width="15.375" style="0" customWidth="1"/>
  </cols>
  <sheetData>
    <row r="1" spans="1:6" ht="51.75" customHeight="1">
      <c r="A1" s="241" t="s">
        <v>218</v>
      </c>
      <c r="B1" s="241"/>
      <c r="C1" s="241"/>
      <c r="E1" s="248" t="s">
        <v>221</v>
      </c>
      <c r="F1" s="248"/>
    </row>
    <row r="2" ht="21.75" customHeight="1"/>
    <row r="3" spans="1:6" ht="51" customHeight="1">
      <c r="A3" s="242" t="s">
        <v>228</v>
      </c>
      <c r="B3" s="242"/>
      <c r="C3" s="242"/>
      <c r="D3" s="242"/>
      <c r="E3" s="242"/>
      <c r="F3" s="242"/>
    </row>
    <row r="4" spans="1:6" ht="31.5" customHeight="1">
      <c r="A4" s="43"/>
      <c r="B4" s="43"/>
      <c r="C4" s="43"/>
      <c r="D4" s="43"/>
      <c r="E4" s="43"/>
      <c r="F4" s="43"/>
    </row>
    <row r="5" spans="1:6" ht="23.25" customHeight="1">
      <c r="A5" s="257" t="s">
        <v>13</v>
      </c>
      <c r="B5" s="259" t="s">
        <v>14</v>
      </c>
      <c r="C5" s="253" t="s">
        <v>219</v>
      </c>
      <c r="D5" s="254" t="s">
        <v>123</v>
      </c>
      <c r="E5" s="255"/>
      <c r="F5" s="256"/>
    </row>
    <row r="6" spans="1:6" ht="25.5" customHeight="1">
      <c r="A6" s="258"/>
      <c r="B6" s="247"/>
      <c r="C6" s="245"/>
      <c r="D6" s="124">
        <v>2010</v>
      </c>
      <c r="E6" s="124">
        <v>2011</v>
      </c>
      <c r="F6" s="124">
        <v>2012</v>
      </c>
    </row>
    <row r="7" spans="1:6" ht="18.75">
      <c r="A7" s="249" t="s">
        <v>15</v>
      </c>
      <c r="B7" s="249"/>
      <c r="C7" s="249"/>
      <c r="D7" s="249"/>
      <c r="E7" s="249"/>
      <c r="F7" s="249"/>
    </row>
    <row r="8" spans="1:6" ht="39">
      <c r="A8" s="125" t="s">
        <v>128</v>
      </c>
      <c r="B8" s="126" t="s">
        <v>17</v>
      </c>
      <c r="C8" s="127">
        <v>345</v>
      </c>
      <c r="D8" s="127">
        <v>416.4</v>
      </c>
      <c r="E8" s="127">
        <v>502.55</v>
      </c>
      <c r="F8" s="128">
        <v>598.18</v>
      </c>
    </row>
    <row r="9" spans="1:6" ht="39">
      <c r="A9" s="90" t="s">
        <v>165</v>
      </c>
      <c r="B9" s="84" t="s">
        <v>17</v>
      </c>
      <c r="C9" s="91">
        <v>20</v>
      </c>
      <c r="D9" s="91">
        <v>22</v>
      </c>
      <c r="E9" s="91">
        <v>26.73</v>
      </c>
      <c r="F9" s="86">
        <v>31.5</v>
      </c>
    </row>
    <row r="10" spans="1:6" ht="87.75" customHeight="1">
      <c r="A10" s="118" t="s">
        <v>120</v>
      </c>
      <c r="B10" s="119" t="s">
        <v>17</v>
      </c>
      <c r="C10" s="120">
        <v>20.4</v>
      </c>
      <c r="D10" s="120">
        <v>20.2</v>
      </c>
      <c r="E10" s="120">
        <v>21.3</v>
      </c>
      <c r="F10" s="121">
        <v>23.04</v>
      </c>
    </row>
    <row r="11" spans="1:6" ht="18.75">
      <c r="A11" s="249" t="s">
        <v>21</v>
      </c>
      <c r="B11" s="249"/>
      <c r="C11" s="249"/>
      <c r="D11" s="249"/>
      <c r="E11" s="249"/>
      <c r="F11" s="249"/>
    </row>
    <row r="12" spans="1:6" ht="18.75">
      <c r="A12" s="122" t="s">
        <v>159</v>
      </c>
      <c r="B12" s="123"/>
      <c r="C12" s="123"/>
      <c r="D12" s="123"/>
      <c r="E12" s="123"/>
      <c r="F12" s="123"/>
    </row>
    <row r="13" spans="1:6" ht="18.75">
      <c r="A13" s="94" t="s">
        <v>154</v>
      </c>
      <c r="B13" s="84" t="s">
        <v>17</v>
      </c>
      <c r="C13" s="93">
        <v>61.2</v>
      </c>
      <c r="D13" s="93">
        <v>66.8</v>
      </c>
      <c r="E13" s="220">
        <f>D13*1.127*1.044</f>
        <v>78.5960784</v>
      </c>
      <c r="F13" s="220">
        <f>E13*1.012*1.117</f>
        <v>88.8453214076736</v>
      </c>
    </row>
    <row r="14" spans="1:6" ht="18.75">
      <c r="A14" s="94" t="s">
        <v>161</v>
      </c>
      <c r="B14" s="93" t="s">
        <v>19</v>
      </c>
      <c r="C14" s="93">
        <v>108.9</v>
      </c>
      <c r="D14" s="93">
        <v>102.4</v>
      </c>
      <c r="E14" s="93">
        <v>104.6</v>
      </c>
      <c r="F14" s="93">
        <v>102.6</v>
      </c>
    </row>
    <row r="15" spans="1:6" ht="18.75">
      <c r="A15" s="95" t="s">
        <v>48</v>
      </c>
      <c r="B15" s="93"/>
      <c r="C15" s="93"/>
      <c r="D15" s="93"/>
      <c r="E15" s="93"/>
      <c r="F15" s="93"/>
    </row>
    <row r="16" spans="1:6" ht="18.75">
      <c r="A16" s="92" t="s">
        <v>23</v>
      </c>
      <c r="B16" s="84"/>
      <c r="C16" s="85"/>
      <c r="D16" s="85"/>
      <c r="E16" s="85"/>
      <c r="F16" s="96"/>
    </row>
    <row r="17" spans="1:6" ht="37.5">
      <c r="A17" s="97" t="s">
        <v>22</v>
      </c>
      <c r="B17" s="84" t="s">
        <v>17</v>
      </c>
      <c r="C17" s="85"/>
      <c r="D17" s="85"/>
      <c r="E17" s="85"/>
      <c r="F17" s="96"/>
    </row>
    <row r="18" spans="1:6" ht="18.75">
      <c r="A18" s="97" t="s">
        <v>3</v>
      </c>
      <c r="B18" s="84" t="s">
        <v>19</v>
      </c>
      <c r="C18" s="85"/>
      <c r="D18" s="85"/>
      <c r="E18" s="85"/>
      <c r="F18" s="96"/>
    </row>
    <row r="19" spans="1:6" ht="18.75">
      <c r="A19" s="92" t="s">
        <v>24</v>
      </c>
      <c r="B19" s="84"/>
      <c r="C19" s="85"/>
      <c r="D19" s="85"/>
      <c r="E19" s="85"/>
      <c r="F19" s="96"/>
    </row>
    <row r="20" spans="1:6" ht="37.5">
      <c r="A20" s="98" t="s">
        <v>22</v>
      </c>
      <c r="B20" s="84" t="s">
        <v>17</v>
      </c>
      <c r="C20" s="85">
        <v>23.6</v>
      </c>
      <c r="D20" s="85">
        <v>26.2</v>
      </c>
      <c r="E20" s="86">
        <f>D20*1.066*1.105</f>
        <v>30.861766000000003</v>
      </c>
      <c r="F20" s="104">
        <f>E20*1.016*1.092</f>
        <v>34.24026524755201</v>
      </c>
    </row>
    <row r="21" spans="1:6" ht="18.75">
      <c r="A21" s="97" t="s">
        <v>3</v>
      </c>
      <c r="B21" s="84" t="s">
        <v>19</v>
      </c>
      <c r="C21" s="85">
        <v>112.8</v>
      </c>
      <c r="D21" s="85">
        <v>103.7</v>
      </c>
      <c r="E21" s="85">
        <v>103.8</v>
      </c>
      <c r="F21" s="96">
        <v>103.8</v>
      </c>
    </row>
    <row r="22" spans="1:6" ht="37.5" customHeight="1">
      <c r="A22" s="92" t="s">
        <v>25</v>
      </c>
      <c r="B22" s="84"/>
      <c r="C22" s="85"/>
      <c r="D22" s="85"/>
      <c r="E22" s="85"/>
      <c r="F22" s="96"/>
    </row>
    <row r="23" spans="1:6" ht="37.5">
      <c r="A23" s="98" t="s">
        <v>101</v>
      </c>
      <c r="B23" s="84" t="s">
        <v>17</v>
      </c>
      <c r="C23" s="85">
        <v>37.5</v>
      </c>
      <c r="D23" s="85">
        <v>40.6</v>
      </c>
      <c r="E23" s="86">
        <f>D23*1.008*1.192</f>
        <v>48.7823616</v>
      </c>
      <c r="F23" s="104">
        <f>E23*1.006*1.138</f>
        <v>55.84741346580479</v>
      </c>
    </row>
    <row r="24" spans="1:6" ht="18.75">
      <c r="A24" s="97" t="s">
        <v>3</v>
      </c>
      <c r="B24" s="84" t="s">
        <v>19</v>
      </c>
      <c r="C24" s="85">
        <v>102.9</v>
      </c>
      <c r="D24" s="85">
        <v>100.2</v>
      </c>
      <c r="E24" s="85">
        <v>100.8</v>
      </c>
      <c r="F24" s="96">
        <v>100.6</v>
      </c>
    </row>
    <row r="25" spans="1:6" ht="18.75">
      <c r="A25" s="99" t="s">
        <v>26</v>
      </c>
      <c r="B25" s="100"/>
      <c r="C25" s="85"/>
      <c r="D25" s="85"/>
      <c r="E25" s="85"/>
      <c r="F25" s="85"/>
    </row>
    <row r="26" spans="1:6" ht="18.75">
      <c r="A26" s="101" t="s">
        <v>27</v>
      </c>
      <c r="B26" s="84" t="s">
        <v>17</v>
      </c>
      <c r="C26" s="85">
        <v>4.63</v>
      </c>
      <c r="D26" s="85">
        <v>4.56</v>
      </c>
      <c r="E26" s="221">
        <f>D26*1.067*1.072</f>
        <v>5.21583744</v>
      </c>
      <c r="F26" s="86">
        <f>E26*1.04*1.066</f>
        <v>5.7824860194816</v>
      </c>
    </row>
    <row r="27" spans="1:6" ht="37.5">
      <c r="A27" s="101" t="s">
        <v>4</v>
      </c>
      <c r="B27" s="84" t="s">
        <v>19</v>
      </c>
      <c r="C27" s="85">
        <v>103.8</v>
      </c>
      <c r="D27" s="85">
        <v>105.5</v>
      </c>
      <c r="E27" s="104">
        <v>106.7</v>
      </c>
      <c r="F27" s="104">
        <v>103.9</v>
      </c>
    </row>
    <row r="28" spans="1:6" ht="18.75">
      <c r="A28" s="102" t="s">
        <v>28</v>
      </c>
      <c r="B28" s="100"/>
      <c r="C28" s="85"/>
      <c r="D28" s="85"/>
      <c r="E28" s="85"/>
      <c r="F28" s="96"/>
    </row>
    <row r="29" spans="1:6" ht="37.5">
      <c r="A29" s="103" t="s">
        <v>5</v>
      </c>
      <c r="B29" s="84" t="s">
        <v>17</v>
      </c>
      <c r="C29" s="85">
        <v>3</v>
      </c>
      <c r="D29" s="85">
        <v>2.5</v>
      </c>
      <c r="E29" s="85">
        <v>2.6</v>
      </c>
      <c r="F29" s="104">
        <v>2.7</v>
      </c>
    </row>
    <row r="30" spans="1:6" ht="18.75">
      <c r="A30" s="103" t="s">
        <v>29</v>
      </c>
      <c r="B30" s="84" t="s">
        <v>30</v>
      </c>
      <c r="C30" s="85">
        <v>1500</v>
      </c>
      <c r="D30" s="85">
        <v>1500</v>
      </c>
      <c r="E30" s="85">
        <v>1550</v>
      </c>
      <c r="F30" s="104">
        <v>1600</v>
      </c>
    </row>
    <row r="31" spans="1:6" ht="18.75">
      <c r="A31" s="103" t="s">
        <v>31</v>
      </c>
      <c r="B31" s="84" t="s">
        <v>30</v>
      </c>
      <c r="C31" s="85">
        <v>0.11</v>
      </c>
      <c r="D31" s="85">
        <v>0.11</v>
      </c>
      <c r="E31" s="85">
        <v>0.11</v>
      </c>
      <c r="F31" s="104">
        <v>0.11</v>
      </c>
    </row>
    <row r="32" spans="1:6" ht="24" customHeight="1">
      <c r="A32" s="102" t="s">
        <v>32</v>
      </c>
      <c r="B32" s="100"/>
      <c r="C32" s="85"/>
      <c r="D32" s="85"/>
      <c r="E32" s="85"/>
      <c r="F32" s="96"/>
    </row>
    <row r="33" spans="1:6" ht="24" customHeight="1">
      <c r="A33" s="103" t="s">
        <v>33</v>
      </c>
      <c r="B33" s="84" t="s">
        <v>34</v>
      </c>
      <c r="C33" s="85"/>
      <c r="D33" s="85"/>
      <c r="E33" s="85"/>
      <c r="F33" s="104"/>
    </row>
    <row r="34" spans="1:6" ht="37.5">
      <c r="A34" s="103" t="s">
        <v>35</v>
      </c>
      <c r="B34" s="105" t="s">
        <v>36</v>
      </c>
      <c r="C34" s="85"/>
      <c r="D34" s="85"/>
      <c r="E34" s="85"/>
      <c r="F34" s="104"/>
    </row>
    <row r="35" spans="1:6" ht="18.75">
      <c r="A35" s="102" t="s">
        <v>37</v>
      </c>
      <c r="B35" s="100"/>
      <c r="C35" s="85"/>
      <c r="D35" s="85"/>
      <c r="E35" s="85"/>
      <c r="F35" s="96"/>
    </row>
    <row r="36" spans="1:6" ht="18.75">
      <c r="A36" s="103" t="s">
        <v>38</v>
      </c>
      <c r="B36" s="84" t="s">
        <v>17</v>
      </c>
      <c r="C36" s="85">
        <v>258.5</v>
      </c>
      <c r="D36" s="85">
        <v>320.8</v>
      </c>
      <c r="E36" s="86">
        <f>D36*1.079*1.13</f>
        <v>391.14181599999995</v>
      </c>
      <c r="F36" s="104">
        <f>E36*1.14*1.06</f>
        <v>472.65577045439994</v>
      </c>
    </row>
    <row r="37" spans="1:6" ht="18.75">
      <c r="A37" s="103" t="s">
        <v>39</v>
      </c>
      <c r="B37" s="84" t="s">
        <v>19</v>
      </c>
      <c r="C37" s="85">
        <v>111</v>
      </c>
      <c r="D37" s="85">
        <v>113</v>
      </c>
      <c r="E37" s="85">
        <v>113</v>
      </c>
      <c r="F37" s="96">
        <v>114</v>
      </c>
    </row>
    <row r="38" spans="1:6" ht="18.75">
      <c r="A38" s="102" t="s">
        <v>40</v>
      </c>
      <c r="B38" s="100"/>
      <c r="C38" s="85"/>
      <c r="D38" s="85"/>
      <c r="E38" s="85"/>
      <c r="F38" s="96"/>
    </row>
    <row r="39" spans="1:6" ht="18.75">
      <c r="A39" s="103" t="s">
        <v>41</v>
      </c>
      <c r="B39" s="84" t="s">
        <v>42</v>
      </c>
      <c r="C39" s="85">
        <v>57</v>
      </c>
      <c r="D39" s="85">
        <v>58</v>
      </c>
      <c r="E39" s="85">
        <v>60</v>
      </c>
      <c r="F39" s="104">
        <v>61</v>
      </c>
    </row>
    <row r="40" spans="1:6" ht="18.75">
      <c r="A40" s="103" t="s">
        <v>160</v>
      </c>
      <c r="B40" s="84"/>
      <c r="C40" s="85"/>
      <c r="D40" s="85"/>
      <c r="E40" s="85"/>
      <c r="F40" s="104"/>
    </row>
    <row r="41" spans="1:6" ht="18.75">
      <c r="A41" s="101" t="s">
        <v>77</v>
      </c>
      <c r="B41" s="84" t="s">
        <v>42</v>
      </c>
      <c r="C41" s="85">
        <v>9</v>
      </c>
      <c r="D41" s="85">
        <v>10</v>
      </c>
      <c r="E41" s="85">
        <v>11</v>
      </c>
      <c r="F41" s="104">
        <v>12</v>
      </c>
    </row>
    <row r="42" spans="1:6" ht="18.75">
      <c r="A42" s="101" t="s">
        <v>155</v>
      </c>
      <c r="B42" s="84" t="s">
        <v>42</v>
      </c>
      <c r="C42" s="85"/>
      <c r="D42" s="85"/>
      <c r="E42" s="85"/>
      <c r="F42" s="104"/>
    </row>
    <row r="43" spans="1:6" ht="18.75">
      <c r="A43" s="101" t="s">
        <v>84</v>
      </c>
      <c r="B43" s="84" t="s">
        <v>42</v>
      </c>
      <c r="C43" s="85"/>
      <c r="D43" s="85"/>
      <c r="E43" s="85"/>
      <c r="F43" s="104"/>
    </row>
    <row r="44" spans="1:6" ht="18.75">
      <c r="A44" s="101" t="s">
        <v>85</v>
      </c>
      <c r="B44" s="84" t="s">
        <v>42</v>
      </c>
      <c r="C44" s="85">
        <v>7</v>
      </c>
      <c r="D44" s="85">
        <v>7</v>
      </c>
      <c r="E44" s="85">
        <v>7</v>
      </c>
      <c r="F44" s="104">
        <v>7</v>
      </c>
    </row>
    <row r="45" spans="1:6" ht="21" customHeight="1">
      <c r="A45" s="101" t="s">
        <v>86</v>
      </c>
      <c r="B45" s="84" t="s">
        <v>42</v>
      </c>
      <c r="C45" s="85"/>
      <c r="D45" s="85"/>
      <c r="E45" s="85"/>
      <c r="F45" s="104"/>
    </row>
    <row r="46" spans="1:6" ht="18.75">
      <c r="A46" s="101" t="s">
        <v>28</v>
      </c>
      <c r="B46" s="84" t="s">
        <v>42</v>
      </c>
      <c r="C46" s="85">
        <v>2</v>
      </c>
      <c r="D46" s="85">
        <v>2</v>
      </c>
      <c r="E46" s="85">
        <v>2</v>
      </c>
      <c r="F46" s="104">
        <v>2</v>
      </c>
    </row>
    <row r="47" spans="1:6" ht="18.75">
      <c r="A47" s="101" t="s">
        <v>37</v>
      </c>
      <c r="B47" s="84" t="s">
        <v>42</v>
      </c>
      <c r="C47" s="85">
        <v>39</v>
      </c>
      <c r="D47" s="85">
        <v>39</v>
      </c>
      <c r="E47" s="85">
        <v>40</v>
      </c>
      <c r="F47" s="104">
        <v>40</v>
      </c>
    </row>
    <row r="48" spans="1:6" ht="18.75">
      <c r="A48" s="101" t="s">
        <v>87</v>
      </c>
      <c r="B48" s="84" t="s">
        <v>42</v>
      </c>
      <c r="C48" s="85"/>
      <c r="D48" s="85"/>
      <c r="E48" s="85"/>
      <c r="F48" s="104"/>
    </row>
    <row r="49" spans="1:6" ht="18.75">
      <c r="A49" s="101" t="s">
        <v>92</v>
      </c>
      <c r="B49" s="84" t="s">
        <v>42</v>
      </c>
      <c r="C49" s="85"/>
      <c r="D49" s="85"/>
      <c r="E49" s="85"/>
      <c r="F49" s="104"/>
    </row>
    <row r="50" spans="1:6" ht="37.5">
      <c r="A50" s="101" t="s">
        <v>43</v>
      </c>
      <c r="B50" s="84" t="s">
        <v>19</v>
      </c>
      <c r="C50" s="85">
        <v>40.7</v>
      </c>
      <c r="D50" s="85">
        <v>40.4</v>
      </c>
      <c r="E50" s="85">
        <v>39.5</v>
      </c>
      <c r="F50" s="104">
        <v>39.9</v>
      </c>
    </row>
    <row r="51" spans="1:6" ht="18.75">
      <c r="A51" s="101" t="s">
        <v>156</v>
      </c>
      <c r="B51" s="84" t="s">
        <v>42</v>
      </c>
      <c r="C51" s="85">
        <v>170</v>
      </c>
      <c r="D51" s="85">
        <v>170</v>
      </c>
      <c r="E51" s="85">
        <v>170</v>
      </c>
      <c r="F51" s="104">
        <v>170</v>
      </c>
    </row>
    <row r="52" spans="1:6" ht="39">
      <c r="A52" s="129" t="s">
        <v>6</v>
      </c>
      <c r="B52" s="119" t="s">
        <v>17</v>
      </c>
      <c r="C52" s="120">
        <v>53.89</v>
      </c>
      <c r="D52" s="120">
        <v>81.65</v>
      </c>
      <c r="E52" s="120">
        <v>142.2</v>
      </c>
      <c r="F52" s="121">
        <v>123.7</v>
      </c>
    </row>
    <row r="53" spans="1:6" ht="18.75">
      <c r="A53" s="249" t="s">
        <v>45</v>
      </c>
      <c r="B53" s="249"/>
      <c r="C53" s="249"/>
      <c r="D53" s="249"/>
      <c r="E53" s="249"/>
      <c r="F53" s="249"/>
    </row>
    <row r="54" spans="1:6" ht="19.5">
      <c r="A54" s="125" t="s">
        <v>168</v>
      </c>
      <c r="B54" s="126" t="s">
        <v>46</v>
      </c>
      <c r="C54" s="127">
        <v>2.89</v>
      </c>
      <c r="D54" s="127">
        <v>2.92</v>
      </c>
      <c r="E54" s="127">
        <v>2.94</v>
      </c>
      <c r="F54" s="165">
        <v>2.95</v>
      </c>
    </row>
    <row r="55" spans="1:6" ht="54.75" customHeight="1">
      <c r="A55" s="106" t="s">
        <v>166</v>
      </c>
      <c r="B55" s="84" t="s">
        <v>46</v>
      </c>
      <c r="C55" s="85">
        <v>1.59</v>
      </c>
      <c r="D55" s="85">
        <v>1.6</v>
      </c>
      <c r="E55" s="85">
        <v>1.61</v>
      </c>
      <c r="F55" s="85">
        <v>1.62</v>
      </c>
    </row>
    <row r="56" spans="1:6" ht="18.75">
      <c r="A56" s="107" t="s">
        <v>91</v>
      </c>
      <c r="B56" s="84"/>
      <c r="C56" s="85"/>
      <c r="D56" s="85"/>
      <c r="E56" s="85"/>
      <c r="F56" s="85"/>
    </row>
    <row r="57" spans="1:6" ht="18.75">
      <c r="A57" s="108" t="s">
        <v>88</v>
      </c>
      <c r="B57" s="84" t="s">
        <v>46</v>
      </c>
      <c r="C57" s="85">
        <v>0.96</v>
      </c>
      <c r="D57" s="85">
        <v>0.97</v>
      </c>
      <c r="E57" s="85">
        <v>0.97</v>
      </c>
      <c r="F57" s="85">
        <v>0.97</v>
      </c>
    </row>
    <row r="58" spans="1:6" ht="18.75">
      <c r="A58" s="109" t="s">
        <v>93</v>
      </c>
      <c r="B58" s="84" t="s">
        <v>44</v>
      </c>
      <c r="C58" s="85">
        <v>0.31</v>
      </c>
      <c r="D58" s="85">
        <v>0.31</v>
      </c>
      <c r="E58" s="85">
        <v>0.31</v>
      </c>
      <c r="F58" s="85">
        <v>0.31</v>
      </c>
    </row>
    <row r="59" spans="1:6" ht="18.75">
      <c r="A59" s="109" t="s">
        <v>94</v>
      </c>
      <c r="B59" s="84" t="s">
        <v>46</v>
      </c>
      <c r="C59" s="85">
        <v>0.15</v>
      </c>
      <c r="D59" s="85">
        <v>0.15</v>
      </c>
      <c r="E59" s="85">
        <v>0.15</v>
      </c>
      <c r="F59" s="85">
        <v>0.15</v>
      </c>
    </row>
    <row r="60" spans="1:6" ht="18.75">
      <c r="A60" s="109" t="s">
        <v>95</v>
      </c>
      <c r="B60" s="84" t="s">
        <v>46</v>
      </c>
      <c r="C60" s="85">
        <v>0.02</v>
      </c>
      <c r="D60" s="85">
        <v>0.02</v>
      </c>
      <c r="E60" s="85">
        <v>0.02</v>
      </c>
      <c r="F60" s="85">
        <v>0.02</v>
      </c>
    </row>
    <row r="61" spans="1:6" ht="18.75">
      <c r="A61" s="109" t="s">
        <v>96</v>
      </c>
      <c r="B61" s="84" t="s">
        <v>46</v>
      </c>
      <c r="C61" s="85"/>
      <c r="D61" s="85"/>
      <c r="E61" s="85"/>
      <c r="F61" s="85"/>
    </row>
    <row r="62" spans="1:6" ht="18.75">
      <c r="A62" s="109" t="s">
        <v>97</v>
      </c>
      <c r="B62" s="84" t="s">
        <v>44</v>
      </c>
      <c r="C62" s="85">
        <v>0.15</v>
      </c>
      <c r="D62" s="85">
        <v>0.15</v>
      </c>
      <c r="E62" s="85">
        <v>0.16</v>
      </c>
      <c r="F62" s="91">
        <v>0.17</v>
      </c>
    </row>
    <row r="63" spans="1:6" ht="37.5">
      <c r="A63" s="110" t="s">
        <v>167</v>
      </c>
      <c r="B63" s="84" t="s">
        <v>46</v>
      </c>
      <c r="C63" s="85">
        <v>0.21</v>
      </c>
      <c r="D63" s="85">
        <v>0.22</v>
      </c>
      <c r="E63" s="85">
        <v>0.23</v>
      </c>
      <c r="F63" s="91">
        <v>0.24</v>
      </c>
    </row>
    <row r="64" spans="1:6" ht="39">
      <c r="A64" s="90" t="s">
        <v>49</v>
      </c>
      <c r="B64" s="84" t="s">
        <v>19</v>
      </c>
      <c r="C64" s="85">
        <v>4</v>
      </c>
      <c r="D64" s="85">
        <v>3.5</v>
      </c>
      <c r="E64" s="85">
        <v>3.2</v>
      </c>
      <c r="F64" s="104">
        <v>3</v>
      </c>
    </row>
    <row r="65" spans="1:6" ht="19.5">
      <c r="A65" s="89" t="s">
        <v>50</v>
      </c>
      <c r="B65" s="84" t="s">
        <v>20</v>
      </c>
      <c r="C65" s="231">
        <f>C75/13997/12*1000000</f>
        <v>6505.8583982281925</v>
      </c>
      <c r="D65" s="91">
        <f>D75/14046/12*1000000</f>
        <v>6936.969006597371</v>
      </c>
      <c r="E65" s="91">
        <f>E75/14097/12*1000000</f>
        <v>7395.703577593341</v>
      </c>
      <c r="F65" s="91">
        <f>F75/14159/12*1000000</f>
        <v>7952.384490430117</v>
      </c>
    </row>
    <row r="66" spans="1:6" ht="39">
      <c r="A66" s="89" t="s">
        <v>124</v>
      </c>
      <c r="B66" s="84" t="s">
        <v>20</v>
      </c>
      <c r="C66" s="96">
        <v>8695.5</v>
      </c>
      <c r="D66" s="91">
        <f>D76/12/D54*1000</f>
        <v>9896.974885844751</v>
      </c>
      <c r="E66" s="91">
        <f>E76/12/E54*1000</f>
        <v>11304.095804988661</v>
      </c>
      <c r="F66" s="91">
        <f>F76/12/F54*1000</f>
        <v>12955.643361581919</v>
      </c>
    </row>
    <row r="67" spans="1:6" ht="75">
      <c r="A67" s="106" t="s">
        <v>119</v>
      </c>
      <c r="B67" s="84" t="s">
        <v>20</v>
      </c>
      <c r="C67" s="96">
        <v>9580.55</v>
      </c>
      <c r="D67" s="85">
        <v>10299.09</v>
      </c>
      <c r="E67" s="85">
        <v>11071.52</v>
      </c>
      <c r="F67" s="86">
        <v>12000.14</v>
      </c>
    </row>
    <row r="68" spans="1:6" ht="18.75">
      <c r="A68" s="107" t="s">
        <v>91</v>
      </c>
      <c r="B68" s="84"/>
      <c r="D68" s="85"/>
      <c r="E68" s="85"/>
      <c r="F68" s="86"/>
    </row>
    <row r="69" spans="1:6" ht="18.75">
      <c r="A69" s="108" t="s">
        <v>88</v>
      </c>
      <c r="B69" s="84" t="s">
        <v>20</v>
      </c>
      <c r="C69" s="85">
        <v>7269.9</v>
      </c>
      <c r="D69" s="85">
        <v>7815.14</v>
      </c>
      <c r="E69" s="85">
        <v>8401.27</v>
      </c>
      <c r="F69" s="86">
        <v>9031.36</v>
      </c>
    </row>
    <row r="70" spans="1:6" ht="18.75">
      <c r="A70" s="109" t="s">
        <v>93</v>
      </c>
      <c r="B70" s="84" t="s">
        <v>20</v>
      </c>
      <c r="C70" s="85">
        <v>11216.54</v>
      </c>
      <c r="D70" s="85">
        <v>12057.83</v>
      </c>
      <c r="E70" s="85">
        <v>12962.16</v>
      </c>
      <c r="F70" s="86">
        <v>13934.32</v>
      </c>
    </row>
    <row r="71" spans="1:6" ht="18.75">
      <c r="A71" s="109" t="s">
        <v>94</v>
      </c>
      <c r="B71" s="84" t="s">
        <v>20</v>
      </c>
      <c r="C71" s="85">
        <v>5461.17</v>
      </c>
      <c r="D71" s="85">
        <v>5870.75</v>
      </c>
      <c r="E71" s="85">
        <v>6311.05</v>
      </c>
      <c r="F71" s="86">
        <v>6784.37</v>
      </c>
    </row>
    <row r="72" spans="1:6" ht="18.75">
      <c r="A72" s="109" t="s">
        <v>95</v>
      </c>
      <c r="B72" s="84" t="s">
        <v>20</v>
      </c>
      <c r="C72" s="85">
        <v>8932.36</v>
      </c>
      <c r="D72" s="85">
        <v>9602.28</v>
      </c>
      <c r="E72" s="85">
        <v>10322.45</v>
      </c>
      <c r="F72" s="86">
        <v>11096.63</v>
      </c>
    </row>
    <row r="73" spans="1:6" ht="18.75">
      <c r="A73" s="109" t="s">
        <v>96</v>
      </c>
      <c r="B73" s="84" t="s">
        <v>20</v>
      </c>
      <c r="C73" s="85"/>
      <c r="D73" s="85"/>
      <c r="E73" s="85"/>
      <c r="F73" s="86"/>
    </row>
    <row r="74" spans="1:6" ht="18.75">
      <c r="A74" s="109" t="s">
        <v>97</v>
      </c>
      <c r="B74" s="84" t="s">
        <v>20</v>
      </c>
      <c r="C74" s="85">
        <v>15752.32</v>
      </c>
      <c r="D74" s="85">
        <v>16933.74</v>
      </c>
      <c r="E74" s="85">
        <v>18203.77</v>
      </c>
      <c r="F74" s="86">
        <v>19569.05</v>
      </c>
    </row>
    <row r="75" spans="1:6" ht="40.5" customHeight="1">
      <c r="A75" s="111" t="s">
        <v>169</v>
      </c>
      <c r="B75" s="84" t="s">
        <v>17</v>
      </c>
      <c r="C75" s="85">
        <v>1092.75</v>
      </c>
      <c r="D75" s="85">
        <v>1169.24</v>
      </c>
      <c r="E75" s="91">
        <f>D75*1.07</f>
        <v>1251.0868</v>
      </c>
      <c r="F75" s="86">
        <f>E75*1.08</f>
        <v>1351.1737440000002</v>
      </c>
    </row>
    <row r="76" spans="1:6" ht="19.5">
      <c r="A76" s="112" t="s">
        <v>53</v>
      </c>
      <c r="B76" s="84" t="s">
        <v>17</v>
      </c>
      <c r="C76" s="85">
        <v>301.56</v>
      </c>
      <c r="D76" s="85">
        <v>346.79</v>
      </c>
      <c r="E76" s="91">
        <f>D76*1.15</f>
        <v>398.8085</v>
      </c>
      <c r="F76" s="86">
        <f>E76*1.15</f>
        <v>458.62977499999994</v>
      </c>
    </row>
    <row r="77" spans="1:6" ht="18.75">
      <c r="A77" s="113" t="s">
        <v>52</v>
      </c>
      <c r="B77" s="84" t="s">
        <v>20</v>
      </c>
      <c r="C77" s="85">
        <v>700000</v>
      </c>
      <c r="D77" s="85">
        <v>700000</v>
      </c>
      <c r="E77" s="85">
        <v>700000</v>
      </c>
      <c r="F77" s="85">
        <v>700000</v>
      </c>
    </row>
    <row r="78" spans="1:6" ht="18.75">
      <c r="A78" s="114" t="s">
        <v>7</v>
      </c>
      <c r="B78" s="115" t="s">
        <v>17</v>
      </c>
      <c r="C78" s="116"/>
      <c r="D78" s="116"/>
      <c r="E78" s="116"/>
      <c r="F78" s="117"/>
    </row>
    <row r="79" ht="36.75" customHeight="1"/>
    <row r="80" spans="1:6" ht="15.75">
      <c r="A80" s="3"/>
      <c r="B80" s="4"/>
      <c r="C80" s="5"/>
      <c r="D80" s="5"/>
      <c r="E80" s="5"/>
      <c r="F80" s="6"/>
    </row>
  </sheetData>
  <sheetProtection/>
  <mergeCells count="10">
    <mergeCell ref="A53:F53"/>
    <mergeCell ref="C5:C6"/>
    <mergeCell ref="D5:F5"/>
    <mergeCell ref="A7:F7"/>
    <mergeCell ref="A11:F11"/>
    <mergeCell ref="A1:C1"/>
    <mergeCell ref="A3:F3"/>
    <mergeCell ref="A5:A6"/>
    <mergeCell ref="B5:B6"/>
    <mergeCell ref="E1:F1"/>
  </mergeCells>
  <printOptions horizontalCentered="1"/>
  <pageMargins left="0.5905511811023623" right="0.3937007874015748" top="0.3937007874015748" bottom="0.3937007874015748" header="0.11811023622047245" footer="0.11811023622047245"/>
  <pageSetup fitToHeight="0" fitToWidth="0" horizontalDpi="300" verticalDpi="300" orientation="portrait" paperSize="9" scale="63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76" zoomScaleNormal="76" zoomScalePageLayoutView="0" workbookViewId="0" topLeftCell="A1">
      <selection activeCell="E44" sqref="E44"/>
    </sheetView>
  </sheetViews>
  <sheetFormatPr defaultColWidth="9.00390625" defaultRowHeight="12.75"/>
  <cols>
    <col min="1" max="1" width="4.375" style="0" customWidth="1"/>
    <col min="2" max="2" width="48.625" style="0" customWidth="1"/>
    <col min="3" max="3" width="17.125" style="0" customWidth="1"/>
    <col min="4" max="4" width="16.875" style="0" customWidth="1"/>
    <col min="5" max="5" width="17.25390625" style="0" customWidth="1"/>
  </cols>
  <sheetData>
    <row r="1" spans="1:5" ht="53.25" customHeight="1">
      <c r="A1" s="272" t="s">
        <v>269</v>
      </c>
      <c r="B1" s="273"/>
      <c r="C1" s="273"/>
      <c r="D1" s="273"/>
      <c r="E1" s="273"/>
    </row>
    <row r="2" spans="1:5" ht="12.75">
      <c r="A2" s="274"/>
      <c r="B2" s="274"/>
      <c r="C2" s="274"/>
      <c r="D2" s="274"/>
      <c r="E2" s="274"/>
    </row>
    <row r="3" spans="1:5" ht="14.25" customHeight="1">
      <c r="A3" s="266" t="s">
        <v>129</v>
      </c>
      <c r="B3" s="267"/>
      <c r="C3" s="270" t="s">
        <v>270</v>
      </c>
      <c r="D3" s="270" t="s">
        <v>271</v>
      </c>
      <c r="E3" s="270" t="s">
        <v>272</v>
      </c>
    </row>
    <row r="4" spans="1:5" ht="12.75">
      <c r="A4" s="268"/>
      <c r="B4" s="269"/>
      <c r="C4" s="271"/>
      <c r="D4" s="271"/>
      <c r="E4" s="271"/>
    </row>
    <row r="5" spans="1:4" ht="14.25" customHeight="1" hidden="1">
      <c r="A5" s="264" t="s">
        <v>130</v>
      </c>
      <c r="B5" s="265"/>
      <c r="C5" s="265"/>
      <c r="D5" s="265"/>
    </row>
    <row r="6" spans="1:4" ht="59.25" customHeight="1" hidden="1">
      <c r="A6" s="261"/>
      <c r="B6" s="234" t="s">
        <v>131</v>
      </c>
      <c r="C6" s="233"/>
      <c r="D6" s="233"/>
    </row>
    <row r="7" spans="1:4" ht="30" customHeight="1" hidden="1">
      <c r="A7" s="262"/>
      <c r="B7" s="234" t="s">
        <v>132</v>
      </c>
      <c r="C7" s="233"/>
      <c r="D7" s="233"/>
    </row>
    <row r="8" spans="1:4" ht="30" customHeight="1" hidden="1">
      <c r="A8" s="262"/>
      <c r="B8" s="234" t="s">
        <v>133</v>
      </c>
      <c r="C8" s="233"/>
      <c r="D8" s="233"/>
    </row>
    <row r="9" spans="1:4" ht="15" customHeight="1" hidden="1">
      <c r="A9" s="262"/>
      <c r="B9" s="234" t="s">
        <v>134</v>
      </c>
      <c r="C9" s="233"/>
      <c r="D9" s="233"/>
    </row>
    <row r="10" spans="1:4" ht="30" customHeight="1" hidden="1">
      <c r="A10" s="262"/>
      <c r="B10" s="235" t="s">
        <v>135</v>
      </c>
      <c r="C10" s="233"/>
      <c r="D10" s="233"/>
    </row>
    <row r="11" spans="1:4" ht="15" customHeight="1" hidden="1">
      <c r="A11" s="262"/>
      <c r="B11" s="234" t="s">
        <v>136</v>
      </c>
      <c r="C11" s="233"/>
      <c r="D11" s="233"/>
    </row>
    <row r="12" spans="1:4" ht="75" customHeight="1" hidden="1">
      <c r="A12" s="262"/>
      <c r="B12" s="236" t="s">
        <v>137</v>
      </c>
      <c r="C12" s="233"/>
      <c r="D12" s="233"/>
    </row>
    <row r="13" spans="1:4" ht="15" customHeight="1" hidden="1">
      <c r="A13" s="262"/>
      <c r="B13" s="236" t="s">
        <v>48</v>
      </c>
      <c r="C13" s="233"/>
      <c r="D13" s="233"/>
    </row>
    <row r="14" spans="1:4" ht="15" customHeight="1" hidden="1">
      <c r="A14" s="262"/>
      <c r="B14" s="236" t="s">
        <v>172</v>
      </c>
      <c r="C14" s="233"/>
      <c r="D14" s="233"/>
    </row>
    <row r="15" spans="1:4" ht="15" customHeight="1" hidden="1">
      <c r="A15" s="262"/>
      <c r="B15" s="236" t="s">
        <v>139</v>
      </c>
      <c r="C15" s="233"/>
      <c r="D15" s="233"/>
    </row>
    <row r="16" spans="1:4" ht="60" customHeight="1" hidden="1">
      <c r="A16" s="263"/>
      <c r="B16" s="236" t="s">
        <v>262</v>
      </c>
      <c r="C16" s="233"/>
      <c r="D16" s="233"/>
    </row>
    <row r="17" spans="1:4" ht="14.25" customHeight="1" hidden="1">
      <c r="A17" s="264" t="s">
        <v>140</v>
      </c>
      <c r="B17" s="265"/>
      <c r="C17" s="265"/>
      <c r="D17" s="265"/>
    </row>
    <row r="18" spans="1:4" ht="14.25" customHeight="1" hidden="1">
      <c r="A18" s="264" t="s">
        <v>125</v>
      </c>
      <c r="B18" s="265"/>
      <c r="C18" s="265"/>
      <c r="D18" s="265"/>
    </row>
    <row r="19" spans="1:4" ht="15" customHeight="1" hidden="1">
      <c r="A19" s="261"/>
      <c r="B19" s="234" t="s">
        <v>131</v>
      </c>
      <c r="C19" s="237"/>
      <c r="D19" s="238"/>
    </row>
    <row r="20" spans="1:4" ht="30" customHeight="1" hidden="1">
      <c r="A20" s="262"/>
      <c r="B20" s="234" t="s">
        <v>132</v>
      </c>
      <c r="C20" s="237"/>
      <c r="D20" s="238"/>
    </row>
    <row r="21" spans="1:4" ht="30" customHeight="1" hidden="1">
      <c r="A21" s="262"/>
      <c r="B21" s="234" t="s">
        <v>133</v>
      </c>
      <c r="C21" s="237"/>
      <c r="D21" s="238"/>
    </row>
    <row r="22" spans="1:4" ht="15" customHeight="1" hidden="1">
      <c r="A22" s="262"/>
      <c r="B22" s="234" t="s">
        <v>134</v>
      </c>
      <c r="C22" s="237"/>
      <c r="D22" s="238"/>
    </row>
    <row r="23" spans="1:4" ht="30" customHeight="1" hidden="1">
      <c r="A23" s="262"/>
      <c r="B23" s="235" t="s">
        <v>135</v>
      </c>
      <c r="C23" s="237"/>
      <c r="D23" s="238"/>
    </row>
    <row r="24" spans="1:4" ht="15" customHeight="1" hidden="1">
      <c r="A24" s="262"/>
      <c r="B24" s="234" t="s">
        <v>136</v>
      </c>
      <c r="C24" s="237"/>
      <c r="D24" s="238"/>
    </row>
    <row r="25" spans="1:4" ht="45" customHeight="1" hidden="1">
      <c r="A25" s="262"/>
      <c r="B25" s="236" t="s">
        <v>145</v>
      </c>
      <c r="C25" s="237"/>
      <c r="D25" s="238"/>
    </row>
    <row r="26" spans="1:4" ht="15" customHeight="1" hidden="1">
      <c r="A26" s="262"/>
      <c r="B26" s="236" t="s">
        <v>48</v>
      </c>
      <c r="C26" s="237"/>
      <c r="D26" s="238"/>
    </row>
    <row r="27" spans="1:4" ht="15" customHeight="1" hidden="1">
      <c r="A27" s="262"/>
      <c r="B27" s="236" t="s">
        <v>138</v>
      </c>
      <c r="C27" s="238"/>
      <c r="D27" s="238"/>
    </row>
    <row r="28" spans="1:4" ht="15" customHeight="1" hidden="1">
      <c r="A28" s="262"/>
      <c r="B28" s="236" t="s">
        <v>139</v>
      </c>
      <c r="C28" s="238"/>
      <c r="D28" s="238"/>
    </row>
    <row r="29" spans="1:4" ht="30" customHeight="1" hidden="1">
      <c r="A29" s="263"/>
      <c r="B29" s="236" t="s">
        <v>146</v>
      </c>
      <c r="C29" s="238"/>
      <c r="D29" s="238"/>
    </row>
    <row r="30" spans="1:4" ht="14.25" customHeight="1">
      <c r="A30" s="264" t="s">
        <v>268</v>
      </c>
      <c r="B30" s="265"/>
      <c r="C30" s="265"/>
      <c r="D30" s="265"/>
    </row>
    <row r="31" spans="1:5" ht="18.75" customHeight="1">
      <c r="A31" s="261"/>
      <c r="B31" s="236" t="s">
        <v>131</v>
      </c>
      <c r="C31" s="239">
        <v>3960</v>
      </c>
      <c r="D31" s="239">
        <v>3965</v>
      </c>
      <c r="E31" s="239">
        <v>3965</v>
      </c>
    </row>
    <row r="32" spans="1:5" ht="17.25" customHeight="1">
      <c r="A32" s="262"/>
      <c r="B32" s="236" t="s">
        <v>132</v>
      </c>
      <c r="C32" s="239">
        <v>31</v>
      </c>
      <c r="D32" s="239">
        <v>31</v>
      </c>
      <c r="E32" s="239">
        <v>31</v>
      </c>
    </row>
    <row r="33" spans="1:5" ht="30" customHeight="1">
      <c r="A33" s="262"/>
      <c r="B33" s="236" t="s">
        <v>133</v>
      </c>
      <c r="C33" s="239">
        <v>19000</v>
      </c>
      <c r="D33" s="239">
        <v>19447.53</v>
      </c>
      <c r="E33" s="158">
        <v>13980</v>
      </c>
    </row>
    <row r="34" spans="1:5" ht="15.75" customHeight="1">
      <c r="A34" s="262"/>
      <c r="B34" s="236" t="s">
        <v>134</v>
      </c>
      <c r="C34" s="239">
        <v>1000</v>
      </c>
      <c r="D34" s="239">
        <v>1000</v>
      </c>
      <c r="E34" s="239">
        <v>1000</v>
      </c>
    </row>
    <row r="35" spans="1:5" ht="15.75" customHeight="1">
      <c r="A35" s="262"/>
      <c r="B35" s="235" t="s">
        <v>135</v>
      </c>
      <c r="C35" s="239">
        <v>35</v>
      </c>
      <c r="D35" s="239">
        <v>35</v>
      </c>
      <c r="E35" s="239">
        <v>35</v>
      </c>
    </row>
    <row r="36" spans="1:5" ht="20.25" customHeight="1">
      <c r="A36" s="262"/>
      <c r="B36" s="236" t="s">
        <v>136</v>
      </c>
      <c r="C36" s="239">
        <v>90500</v>
      </c>
      <c r="D36" s="239">
        <v>91000</v>
      </c>
      <c r="E36" s="158">
        <v>91005</v>
      </c>
    </row>
    <row r="37" spans="1:5" ht="45" customHeight="1">
      <c r="A37" s="262"/>
      <c r="B37" s="236" t="s">
        <v>145</v>
      </c>
      <c r="C37" s="239">
        <v>12183.5</v>
      </c>
      <c r="D37" s="239">
        <v>10969.7</v>
      </c>
      <c r="E37" s="158">
        <v>6513.7</v>
      </c>
    </row>
    <row r="38" spans="1:5" ht="18.75" customHeight="1">
      <c r="A38" s="262"/>
      <c r="B38" s="236" t="s">
        <v>48</v>
      </c>
      <c r="C38" s="239"/>
      <c r="D38" s="239"/>
      <c r="E38" s="158"/>
    </row>
    <row r="39" spans="1:5" ht="18" customHeight="1">
      <c r="A39" s="262"/>
      <c r="B39" s="236" t="s">
        <v>138</v>
      </c>
      <c r="C39" s="240">
        <v>106.6</v>
      </c>
      <c r="D39" s="240">
        <v>99.2</v>
      </c>
      <c r="E39" s="158">
        <v>24.9</v>
      </c>
    </row>
    <row r="40" spans="1:5" ht="18.75" customHeight="1">
      <c r="A40" s="262"/>
      <c r="B40" s="236" t="s">
        <v>139</v>
      </c>
      <c r="C40" s="240">
        <v>4131.2</v>
      </c>
      <c r="D40" s="240">
        <v>3510.3</v>
      </c>
      <c r="E40" s="158">
        <v>1177.7</v>
      </c>
    </row>
    <row r="41" spans="1:5" ht="18.75" customHeight="1">
      <c r="A41" s="262"/>
      <c r="B41" s="236" t="s">
        <v>264</v>
      </c>
      <c r="C41" s="240">
        <v>94.6</v>
      </c>
      <c r="D41" s="240">
        <v>235.3</v>
      </c>
      <c r="E41" s="158">
        <v>221.6</v>
      </c>
    </row>
    <row r="42" spans="1:5" ht="27.75" customHeight="1">
      <c r="A42" s="263"/>
      <c r="B42" s="236" t="s">
        <v>263</v>
      </c>
      <c r="C42" s="239">
        <v>87796.6</v>
      </c>
      <c r="D42" s="239">
        <v>69536.3</v>
      </c>
      <c r="E42" s="158">
        <v>47706.3</v>
      </c>
    </row>
    <row r="43" spans="1:4" ht="18.75" hidden="1">
      <c r="A43" s="260" t="s">
        <v>144</v>
      </c>
      <c r="B43" s="260"/>
      <c r="C43" s="260"/>
      <c r="D43" s="260"/>
    </row>
    <row r="45" spans="2:4" ht="12.75">
      <c r="B45" t="s">
        <v>265</v>
      </c>
      <c r="D45" t="s">
        <v>273</v>
      </c>
    </row>
    <row r="48" spans="2:4" ht="12.75">
      <c r="B48" t="s">
        <v>266</v>
      </c>
      <c r="D48" t="s">
        <v>267</v>
      </c>
    </row>
  </sheetData>
  <sheetProtection/>
  <mergeCells count="13">
    <mergeCell ref="A1:E2"/>
    <mergeCell ref="A5:D5"/>
    <mergeCell ref="A6:A16"/>
    <mergeCell ref="A17:D17"/>
    <mergeCell ref="E3:E4"/>
    <mergeCell ref="A43:D43"/>
    <mergeCell ref="A19:A29"/>
    <mergeCell ref="A30:D30"/>
    <mergeCell ref="A18:D18"/>
    <mergeCell ref="A31:A42"/>
    <mergeCell ref="A3:B4"/>
    <mergeCell ref="C3:C4"/>
    <mergeCell ref="D3:D4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05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Z86" sqref="Z86"/>
    </sheetView>
  </sheetViews>
  <sheetFormatPr defaultColWidth="9.00390625" defaultRowHeight="12.75"/>
  <cols>
    <col min="1" max="1" width="3.125" style="0" customWidth="1"/>
    <col min="2" max="2" width="3.25390625" style="0" customWidth="1"/>
    <col min="4" max="4" width="23.25390625" style="0" customWidth="1"/>
    <col min="5" max="8" width="9.75390625" style="0" customWidth="1"/>
    <col min="9" max="9" width="9.625" style="0" customWidth="1"/>
    <col min="10" max="29" width="9.75390625" style="0" customWidth="1"/>
  </cols>
  <sheetData>
    <row r="1" spans="14:29" ht="15.75">
      <c r="N1" s="317" t="s">
        <v>126</v>
      </c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</row>
    <row r="3" spans="1:36" ht="15.75">
      <c r="A3" s="327"/>
      <c r="B3" s="328"/>
      <c r="C3" s="328"/>
      <c r="D3" s="329"/>
      <c r="E3" s="318" t="s">
        <v>9</v>
      </c>
      <c r="F3" s="319"/>
      <c r="G3" s="319"/>
      <c r="H3" s="319"/>
      <c r="I3" s="320"/>
      <c r="J3" s="318" t="s">
        <v>114</v>
      </c>
      <c r="K3" s="319"/>
      <c r="L3" s="319"/>
      <c r="M3" s="319"/>
      <c r="N3" s="319"/>
      <c r="O3" s="319"/>
      <c r="P3" s="319"/>
      <c r="Q3" s="319"/>
      <c r="R3" s="319"/>
      <c r="S3" s="320"/>
      <c r="T3" s="318" t="s">
        <v>115</v>
      </c>
      <c r="U3" s="319"/>
      <c r="V3" s="319"/>
      <c r="W3" s="319"/>
      <c r="X3" s="319"/>
      <c r="Y3" s="319"/>
      <c r="Z3" s="319"/>
      <c r="AA3" s="319"/>
      <c r="AB3" s="319"/>
      <c r="AC3" s="320"/>
      <c r="AD3" s="51"/>
      <c r="AE3" s="51"/>
      <c r="AF3" s="7"/>
      <c r="AG3" s="7"/>
      <c r="AH3" s="7"/>
      <c r="AI3" s="7"/>
      <c r="AJ3" s="7"/>
    </row>
    <row r="4" spans="1:36" ht="58.5" customHeight="1">
      <c r="A4" s="330"/>
      <c r="B4" s="331"/>
      <c r="C4" s="331"/>
      <c r="D4" s="332"/>
      <c r="E4" s="315" t="s">
        <v>117</v>
      </c>
      <c r="F4" s="315"/>
      <c r="G4" s="315"/>
      <c r="H4" s="315"/>
      <c r="I4" s="316"/>
      <c r="J4" s="314" t="s">
        <v>1</v>
      </c>
      <c r="K4" s="315"/>
      <c r="L4" s="315"/>
      <c r="M4" s="315"/>
      <c r="N4" s="316"/>
      <c r="O4" s="314" t="s">
        <v>173</v>
      </c>
      <c r="P4" s="315"/>
      <c r="Q4" s="315"/>
      <c r="R4" s="315"/>
      <c r="S4" s="316"/>
      <c r="T4" s="314" t="s">
        <v>0</v>
      </c>
      <c r="U4" s="315"/>
      <c r="V4" s="315"/>
      <c r="W4" s="315"/>
      <c r="X4" s="316"/>
      <c r="Y4" s="314" t="s">
        <v>116</v>
      </c>
      <c r="Z4" s="315"/>
      <c r="AA4" s="315"/>
      <c r="AB4" s="315"/>
      <c r="AC4" s="316"/>
      <c r="AD4" s="7"/>
      <c r="AE4" s="7"/>
      <c r="AF4" s="7"/>
      <c r="AG4" s="7"/>
      <c r="AH4" s="7"/>
      <c r="AI4" s="7"/>
      <c r="AJ4" s="7"/>
    </row>
    <row r="5" spans="1:36" ht="15.75" customHeight="1">
      <c r="A5" s="330"/>
      <c r="B5" s="331"/>
      <c r="C5" s="331"/>
      <c r="D5" s="332"/>
      <c r="E5" s="316" t="s">
        <v>184</v>
      </c>
      <c r="F5" s="306" t="s">
        <v>185</v>
      </c>
      <c r="G5" s="306" t="s">
        <v>186</v>
      </c>
      <c r="H5" s="306"/>
      <c r="I5" s="306"/>
      <c r="J5" s="316" t="s">
        <v>184</v>
      </c>
      <c r="K5" s="306" t="s">
        <v>185</v>
      </c>
      <c r="L5" s="306" t="s">
        <v>186</v>
      </c>
      <c r="M5" s="306"/>
      <c r="N5" s="306"/>
      <c r="O5" s="316" t="s">
        <v>184</v>
      </c>
      <c r="P5" s="306" t="s">
        <v>185</v>
      </c>
      <c r="Q5" s="306" t="s">
        <v>186</v>
      </c>
      <c r="R5" s="306"/>
      <c r="S5" s="306"/>
      <c r="T5" s="316" t="s">
        <v>184</v>
      </c>
      <c r="U5" s="306" t="s">
        <v>185</v>
      </c>
      <c r="V5" s="306" t="s">
        <v>186</v>
      </c>
      <c r="W5" s="306"/>
      <c r="X5" s="306"/>
      <c r="Y5" s="316" t="s">
        <v>184</v>
      </c>
      <c r="Z5" s="306" t="s">
        <v>185</v>
      </c>
      <c r="AA5" s="306" t="s">
        <v>186</v>
      </c>
      <c r="AB5" s="306"/>
      <c r="AC5" s="306"/>
      <c r="AD5" s="7"/>
      <c r="AE5" s="7"/>
      <c r="AF5" s="7"/>
      <c r="AG5" s="7"/>
      <c r="AH5" s="7"/>
      <c r="AI5" s="7"/>
      <c r="AJ5" s="7"/>
    </row>
    <row r="6" spans="1:36" ht="15.75">
      <c r="A6" s="333"/>
      <c r="B6" s="334"/>
      <c r="C6" s="334"/>
      <c r="D6" s="335"/>
      <c r="E6" s="316"/>
      <c r="F6" s="306"/>
      <c r="G6" s="45">
        <v>2010</v>
      </c>
      <c r="H6" s="45">
        <v>2011</v>
      </c>
      <c r="I6" s="45">
        <v>2012</v>
      </c>
      <c r="J6" s="316"/>
      <c r="K6" s="306"/>
      <c r="L6" s="45">
        <v>2010</v>
      </c>
      <c r="M6" s="45">
        <v>2011</v>
      </c>
      <c r="N6" s="45">
        <v>2012</v>
      </c>
      <c r="O6" s="316"/>
      <c r="P6" s="306"/>
      <c r="Q6" s="45">
        <v>2010</v>
      </c>
      <c r="R6" s="45">
        <v>2011</v>
      </c>
      <c r="S6" s="45">
        <v>2012</v>
      </c>
      <c r="T6" s="316"/>
      <c r="U6" s="306"/>
      <c r="V6" s="45">
        <v>2010</v>
      </c>
      <c r="W6" s="45">
        <v>2011</v>
      </c>
      <c r="X6" s="45">
        <v>2012</v>
      </c>
      <c r="Y6" s="316"/>
      <c r="Z6" s="306"/>
      <c r="AA6" s="45">
        <v>2010</v>
      </c>
      <c r="AB6" s="45">
        <v>2011</v>
      </c>
      <c r="AC6" s="45">
        <v>2012</v>
      </c>
      <c r="AD6" s="7"/>
      <c r="AE6" s="7"/>
      <c r="AF6" s="7"/>
      <c r="AG6" s="7"/>
      <c r="AH6" s="7"/>
      <c r="AI6" s="7"/>
      <c r="AJ6" s="7"/>
    </row>
    <row r="7" spans="1:36" ht="37.5" customHeight="1">
      <c r="A7" s="336" t="s">
        <v>158</v>
      </c>
      <c r="B7" s="337"/>
      <c r="C7" s="337"/>
      <c r="D7" s="338"/>
      <c r="E7" s="58">
        <f>E8</f>
        <v>11.043000000000001</v>
      </c>
      <c r="F7" s="58">
        <f aca="true" t="shared" si="0" ref="F7:AC7">F8</f>
        <v>13.891602993</v>
      </c>
      <c r="G7" s="58">
        <f t="shared" si="0"/>
        <v>15.408015205986556</v>
      </c>
      <c r="H7" s="58">
        <f t="shared" si="0"/>
        <v>16.86708563918701</v>
      </c>
      <c r="I7" s="58">
        <f t="shared" si="0"/>
        <v>18.336595884351002</v>
      </c>
      <c r="J7" s="58">
        <f t="shared" si="0"/>
        <v>11.043000000000001</v>
      </c>
      <c r="K7" s="58">
        <f t="shared" si="0"/>
        <v>13.891602993</v>
      </c>
      <c r="L7" s="58">
        <f t="shared" si="0"/>
        <v>15.408015205986556</v>
      </c>
      <c r="M7" s="58">
        <f t="shared" si="0"/>
        <v>16.86708563918701</v>
      </c>
      <c r="N7" s="58">
        <f t="shared" si="0"/>
        <v>18.336595884351002</v>
      </c>
      <c r="O7" s="58">
        <f t="shared" si="0"/>
        <v>1.36</v>
      </c>
      <c r="P7" s="58">
        <f t="shared" si="0"/>
        <v>1.44</v>
      </c>
      <c r="Q7" s="58">
        <f t="shared" si="0"/>
        <v>1.504</v>
      </c>
      <c r="R7" s="58">
        <f t="shared" si="0"/>
        <v>1.58</v>
      </c>
      <c r="S7" s="58">
        <f t="shared" si="0"/>
        <v>1.9</v>
      </c>
      <c r="T7" s="58">
        <f t="shared" si="0"/>
        <v>51</v>
      </c>
      <c r="U7" s="58">
        <f t="shared" si="0"/>
        <v>51</v>
      </c>
      <c r="V7" s="58">
        <f t="shared" si="0"/>
        <v>51</v>
      </c>
      <c r="W7" s="58">
        <f t="shared" si="0"/>
        <v>51</v>
      </c>
      <c r="X7" s="58">
        <f t="shared" si="0"/>
        <v>51</v>
      </c>
      <c r="Y7" s="58">
        <f t="shared" si="0"/>
        <v>1.4929999999999999</v>
      </c>
      <c r="Z7" s="58">
        <f t="shared" si="0"/>
        <v>1.5699999999999998</v>
      </c>
      <c r="AA7" s="58">
        <f t="shared" si="0"/>
        <v>1.6599999999999997</v>
      </c>
      <c r="AB7" s="58">
        <f t="shared" si="0"/>
        <v>1.7399999999999998</v>
      </c>
      <c r="AC7" s="58">
        <f t="shared" si="0"/>
        <v>1.92</v>
      </c>
      <c r="AD7" s="7"/>
      <c r="AE7" s="7"/>
      <c r="AF7" s="7"/>
      <c r="AG7" s="7"/>
      <c r="AH7" s="7"/>
      <c r="AI7" s="7"/>
      <c r="AJ7" s="7"/>
    </row>
    <row r="8" spans="1:36" ht="31.5" customHeight="1">
      <c r="A8" s="324" t="s">
        <v>55</v>
      </c>
      <c r="B8" s="325"/>
      <c r="C8" s="325"/>
      <c r="D8" s="326"/>
      <c r="E8" s="166">
        <f>E10+E16</f>
        <v>11.043000000000001</v>
      </c>
      <c r="F8" s="166">
        <f aca="true" t="shared" si="1" ref="F8:AC8">F10+F16</f>
        <v>13.891602993</v>
      </c>
      <c r="G8" s="166">
        <f t="shared" si="1"/>
        <v>15.408015205986556</v>
      </c>
      <c r="H8" s="166">
        <f t="shared" si="1"/>
        <v>16.86708563918701</v>
      </c>
      <c r="I8" s="166">
        <f t="shared" si="1"/>
        <v>18.336595884351002</v>
      </c>
      <c r="J8" s="166">
        <f t="shared" si="1"/>
        <v>11.043000000000001</v>
      </c>
      <c r="K8" s="166">
        <f t="shared" si="1"/>
        <v>13.891602993</v>
      </c>
      <c r="L8" s="166">
        <f t="shared" si="1"/>
        <v>15.408015205986556</v>
      </c>
      <c r="M8" s="166">
        <f t="shared" si="1"/>
        <v>16.86708563918701</v>
      </c>
      <c r="N8" s="166">
        <f t="shared" si="1"/>
        <v>18.336595884351002</v>
      </c>
      <c r="O8" s="166">
        <f t="shared" si="1"/>
        <v>1.36</v>
      </c>
      <c r="P8" s="166">
        <f t="shared" si="1"/>
        <v>1.44</v>
      </c>
      <c r="Q8" s="166">
        <f t="shared" si="1"/>
        <v>1.504</v>
      </c>
      <c r="R8" s="166">
        <f t="shared" si="1"/>
        <v>1.58</v>
      </c>
      <c r="S8" s="166">
        <f t="shared" si="1"/>
        <v>1.9</v>
      </c>
      <c r="T8" s="166">
        <f t="shared" si="1"/>
        <v>51</v>
      </c>
      <c r="U8" s="166">
        <f t="shared" si="1"/>
        <v>51</v>
      </c>
      <c r="V8" s="166">
        <f t="shared" si="1"/>
        <v>51</v>
      </c>
      <c r="W8" s="166">
        <f t="shared" si="1"/>
        <v>51</v>
      </c>
      <c r="X8" s="166">
        <f t="shared" si="1"/>
        <v>51</v>
      </c>
      <c r="Y8" s="166">
        <f t="shared" si="1"/>
        <v>1.4929999999999999</v>
      </c>
      <c r="Z8" s="166">
        <f t="shared" si="1"/>
        <v>1.5699999999999998</v>
      </c>
      <c r="AA8" s="166">
        <f t="shared" si="1"/>
        <v>1.6599999999999997</v>
      </c>
      <c r="AB8" s="166">
        <f t="shared" si="1"/>
        <v>1.7399999999999998</v>
      </c>
      <c r="AC8" s="166">
        <f t="shared" si="1"/>
        <v>1.92</v>
      </c>
      <c r="AD8" s="7"/>
      <c r="AE8" s="7"/>
      <c r="AF8" s="7"/>
      <c r="AG8" s="7"/>
      <c r="AH8" s="7"/>
      <c r="AI8" s="7"/>
      <c r="AJ8" s="7"/>
    </row>
    <row r="9" spans="1:36" ht="15.75">
      <c r="A9" s="46"/>
      <c r="B9" s="310" t="s">
        <v>56</v>
      </c>
      <c r="C9" s="310"/>
      <c r="D9" s="311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7"/>
      <c r="U9" s="167"/>
      <c r="V9" s="167"/>
      <c r="W9" s="167"/>
      <c r="X9" s="166"/>
      <c r="Y9" s="166"/>
      <c r="Z9" s="166"/>
      <c r="AA9" s="166"/>
      <c r="AB9" s="166"/>
      <c r="AC9" s="166"/>
      <c r="AD9" s="7"/>
      <c r="AE9" s="7"/>
      <c r="AF9" s="7"/>
      <c r="AG9" s="7"/>
      <c r="AH9" s="7"/>
      <c r="AI9" s="7"/>
      <c r="AJ9" s="7"/>
    </row>
    <row r="10" spans="1:36" ht="51.75" customHeight="1">
      <c r="A10" s="342" t="s">
        <v>109</v>
      </c>
      <c r="B10" s="343"/>
      <c r="C10" s="343"/>
      <c r="D10" s="344"/>
      <c r="E10" s="167">
        <f>E12+E13</f>
        <v>4.9</v>
      </c>
      <c r="F10" s="214">
        <f aca="true" t="shared" si="2" ref="F10:AC10">F12+F13</f>
        <v>5.5843487</v>
      </c>
      <c r="G10" s="214">
        <f t="shared" si="2"/>
        <v>6.5606936600617995</v>
      </c>
      <c r="H10" s="214">
        <f t="shared" si="2"/>
        <v>7.313914532915442</v>
      </c>
      <c r="I10" s="214">
        <f t="shared" si="2"/>
        <v>8.038895722841023</v>
      </c>
      <c r="J10" s="167">
        <f t="shared" si="2"/>
        <v>4.9</v>
      </c>
      <c r="K10" s="167">
        <f t="shared" si="2"/>
        <v>5.5843487</v>
      </c>
      <c r="L10" s="167">
        <f t="shared" si="2"/>
        <v>6.5606936600617995</v>
      </c>
      <c r="M10" s="167">
        <f t="shared" si="2"/>
        <v>7.313914532915442</v>
      </c>
      <c r="N10" s="167">
        <f t="shared" si="2"/>
        <v>8.038895722841023</v>
      </c>
      <c r="O10" s="167">
        <f t="shared" si="2"/>
        <v>0.6000000000000001</v>
      </c>
      <c r="P10" s="167">
        <f t="shared" si="2"/>
        <v>0.63</v>
      </c>
      <c r="Q10" s="167">
        <f t="shared" si="2"/>
        <v>0.654</v>
      </c>
      <c r="R10" s="167">
        <f t="shared" si="2"/>
        <v>0.6799999999999999</v>
      </c>
      <c r="S10" s="167">
        <f t="shared" si="2"/>
        <v>0.75</v>
      </c>
      <c r="T10" s="167">
        <f t="shared" si="2"/>
        <v>12</v>
      </c>
      <c r="U10" s="167">
        <f t="shared" si="2"/>
        <v>12</v>
      </c>
      <c r="V10" s="167">
        <f t="shared" si="2"/>
        <v>12</v>
      </c>
      <c r="W10" s="167">
        <f t="shared" si="2"/>
        <v>12</v>
      </c>
      <c r="X10" s="167">
        <f t="shared" si="2"/>
        <v>12</v>
      </c>
      <c r="Y10" s="167">
        <f t="shared" si="2"/>
        <v>0.929</v>
      </c>
      <c r="Z10" s="167">
        <f t="shared" si="2"/>
        <v>1</v>
      </c>
      <c r="AA10" s="167">
        <f t="shared" si="2"/>
        <v>1.0699999999999998</v>
      </c>
      <c r="AB10" s="167">
        <f t="shared" si="2"/>
        <v>1.13</v>
      </c>
      <c r="AC10" s="167">
        <f t="shared" si="2"/>
        <v>1.26</v>
      </c>
      <c r="AD10" s="8"/>
      <c r="AE10" s="8"/>
      <c r="AF10" s="8"/>
      <c r="AG10" s="7"/>
      <c r="AH10" s="7"/>
      <c r="AI10" s="7"/>
      <c r="AJ10" s="7"/>
    </row>
    <row r="11" spans="1:36" ht="15.75" customHeight="1">
      <c r="A11" s="46"/>
      <c r="B11" s="310" t="s">
        <v>122</v>
      </c>
      <c r="C11" s="310"/>
      <c r="D11" s="311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8"/>
      <c r="AE11" s="8"/>
      <c r="AF11" s="8"/>
      <c r="AG11" s="7"/>
      <c r="AH11" s="7"/>
      <c r="AI11" s="7"/>
      <c r="AJ11" s="7"/>
    </row>
    <row r="12" spans="1:36" ht="15.75">
      <c r="A12" s="277" t="s">
        <v>178</v>
      </c>
      <c r="B12" s="278"/>
      <c r="C12" s="278"/>
      <c r="D12" s="279"/>
      <c r="E12" s="169">
        <v>2.1</v>
      </c>
      <c r="F12" s="200">
        <f>E12*1.005*1.099</f>
        <v>2.3194395</v>
      </c>
      <c r="G12" s="200">
        <f>F12*1.002*1.151</f>
        <v>2.675014214229</v>
      </c>
      <c r="H12" s="200">
        <f>G12*1.001*1.093</f>
        <v>2.9267143266884488</v>
      </c>
      <c r="I12" s="200">
        <f>H12*1.001*1.078</f>
        <v>3.158153042214318</v>
      </c>
      <c r="J12" s="169">
        <v>2.1</v>
      </c>
      <c r="K12" s="200">
        <f>J12*1.005*1.099</f>
        <v>2.3194395</v>
      </c>
      <c r="L12" s="200">
        <f>K12*1.002*1.151</f>
        <v>2.675014214229</v>
      </c>
      <c r="M12" s="200">
        <f>L12*1.001*1.093</f>
        <v>2.9267143266884488</v>
      </c>
      <c r="N12" s="200">
        <f>M12*1.001*1.078</f>
        <v>3.158153042214318</v>
      </c>
      <c r="O12" s="169">
        <v>0.28</v>
      </c>
      <c r="P12" s="169">
        <v>0.29</v>
      </c>
      <c r="Q12" s="169">
        <f>0.28*1.05</f>
        <v>0.29400000000000004</v>
      </c>
      <c r="R12" s="169">
        <v>0.3</v>
      </c>
      <c r="S12" s="169">
        <v>0.35</v>
      </c>
      <c r="T12" s="169">
        <v>6</v>
      </c>
      <c r="U12" s="169">
        <v>6</v>
      </c>
      <c r="V12" s="169">
        <v>6</v>
      </c>
      <c r="W12" s="169">
        <v>6</v>
      </c>
      <c r="X12" s="169">
        <v>6</v>
      </c>
      <c r="Y12" s="200">
        <v>0.49</v>
      </c>
      <c r="Z12" s="200">
        <v>0.53</v>
      </c>
      <c r="AA12" s="200">
        <v>0.57</v>
      </c>
      <c r="AB12" s="200">
        <v>0.6</v>
      </c>
      <c r="AC12" s="200">
        <v>0.7</v>
      </c>
      <c r="AD12" s="8"/>
      <c r="AE12" s="8"/>
      <c r="AF12" s="8"/>
      <c r="AG12" s="7"/>
      <c r="AH12" s="7"/>
      <c r="AI12" s="7"/>
      <c r="AJ12" s="7"/>
    </row>
    <row r="13" spans="1:36" ht="15.75">
      <c r="A13" s="339" t="s">
        <v>179</v>
      </c>
      <c r="B13" s="340"/>
      <c r="C13" s="340"/>
      <c r="D13" s="341"/>
      <c r="E13" s="171">
        <v>2.8</v>
      </c>
      <c r="F13" s="204">
        <f>E13*1.061*1.099</f>
        <v>3.2649091999999995</v>
      </c>
      <c r="G13" s="204">
        <f>F13*1.034*1.151</f>
        <v>3.8856794458327997</v>
      </c>
      <c r="H13" s="204">
        <f>G13*1.033*1.093</f>
        <v>4.387200206226993</v>
      </c>
      <c r="I13" s="204">
        <f>H13*1.032*1.078</f>
        <v>4.880742680626705</v>
      </c>
      <c r="J13" s="170">
        <v>2.8</v>
      </c>
      <c r="K13" s="204">
        <f>J13*1.061*1.099</f>
        <v>3.2649091999999995</v>
      </c>
      <c r="L13" s="204">
        <f>K13*1.034*1.151</f>
        <v>3.8856794458327997</v>
      </c>
      <c r="M13" s="204">
        <f>L13*1.033*1.093</f>
        <v>4.387200206226993</v>
      </c>
      <c r="N13" s="204">
        <f>M13*1.032*1.078</f>
        <v>4.880742680626705</v>
      </c>
      <c r="O13" s="201">
        <v>0.32</v>
      </c>
      <c r="P13" s="201">
        <v>0.34</v>
      </c>
      <c r="Q13" s="201">
        <v>0.36</v>
      </c>
      <c r="R13" s="201">
        <v>0.38</v>
      </c>
      <c r="S13" s="201">
        <v>0.4</v>
      </c>
      <c r="T13" s="170">
        <v>6</v>
      </c>
      <c r="U13" s="170">
        <v>6</v>
      </c>
      <c r="V13" s="170">
        <v>6</v>
      </c>
      <c r="W13" s="170">
        <v>6</v>
      </c>
      <c r="X13" s="170">
        <v>6</v>
      </c>
      <c r="Y13" s="170">
        <v>0.439</v>
      </c>
      <c r="Z13" s="201">
        <v>0.47</v>
      </c>
      <c r="AA13" s="170">
        <v>0.5</v>
      </c>
      <c r="AB13" s="170">
        <v>0.53</v>
      </c>
      <c r="AC13" s="170">
        <v>0.56</v>
      </c>
      <c r="AD13" s="8"/>
      <c r="AE13" s="8"/>
      <c r="AF13" s="8"/>
      <c r="AG13" s="7"/>
      <c r="AH13" s="7"/>
      <c r="AI13" s="7"/>
      <c r="AJ13" s="7"/>
    </row>
    <row r="14" spans="1:36" ht="15.75">
      <c r="A14" s="46"/>
      <c r="B14" s="47"/>
      <c r="C14" s="280" t="s">
        <v>225</v>
      </c>
      <c r="D14" s="281"/>
      <c r="E14" s="168"/>
      <c r="F14" s="228">
        <v>109.9</v>
      </c>
      <c r="G14" s="228">
        <v>115.1</v>
      </c>
      <c r="H14" s="228">
        <v>109.3</v>
      </c>
      <c r="I14" s="228">
        <v>107.8</v>
      </c>
      <c r="J14" s="228"/>
      <c r="K14" s="228">
        <v>109.9</v>
      </c>
      <c r="L14" s="228">
        <v>115.1</v>
      </c>
      <c r="M14" s="228">
        <v>109.3</v>
      </c>
      <c r="N14" s="228">
        <v>107.8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8"/>
      <c r="AE14" s="8"/>
      <c r="AF14" s="8"/>
      <c r="AG14" s="7"/>
      <c r="AH14" s="7"/>
      <c r="AI14" s="7"/>
      <c r="AJ14" s="7"/>
    </row>
    <row r="15" spans="1:36" ht="15.75">
      <c r="A15" s="49"/>
      <c r="B15" s="50"/>
      <c r="C15" s="275" t="s">
        <v>226</v>
      </c>
      <c r="D15" s="276"/>
      <c r="E15" s="170"/>
      <c r="F15" s="229">
        <v>102.4</v>
      </c>
      <c r="G15" s="229">
        <v>101.9</v>
      </c>
      <c r="H15" s="229">
        <v>101.4</v>
      </c>
      <c r="I15" s="229">
        <v>101.4</v>
      </c>
      <c r="J15" s="229"/>
      <c r="K15" s="229">
        <v>102.4</v>
      </c>
      <c r="L15" s="229">
        <v>101.9</v>
      </c>
      <c r="M15" s="229">
        <v>101.4</v>
      </c>
      <c r="N15" s="229">
        <v>101.4</v>
      </c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8"/>
      <c r="AE15" s="8"/>
      <c r="AF15" s="8"/>
      <c r="AG15" s="7"/>
      <c r="AH15" s="7"/>
      <c r="AI15" s="7"/>
      <c r="AJ15" s="7"/>
    </row>
    <row r="16" spans="1:36" ht="47.25" customHeight="1">
      <c r="A16" s="321" t="s">
        <v>110</v>
      </c>
      <c r="B16" s="322"/>
      <c r="C16" s="322"/>
      <c r="D16" s="323"/>
      <c r="E16" s="168">
        <f>E18+E19</f>
        <v>6.143000000000001</v>
      </c>
      <c r="F16" s="168">
        <f aca="true" t="shared" si="3" ref="F16:AC16">F18+F19</f>
        <v>8.307254293</v>
      </c>
      <c r="G16" s="168">
        <f t="shared" si="3"/>
        <v>8.847321545924757</v>
      </c>
      <c r="H16" s="168">
        <f t="shared" si="3"/>
        <v>9.553171106271567</v>
      </c>
      <c r="I16" s="168">
        <f t="shared" si="3"/>
        <v>10.29770016150998</v>
      </c>
      <c r="J16" s="168">
        <f t="shared" si="3"/>
        <v>6.143000000000001</v>
      </c>
      <c r="K16" s="168">
        <f t="shared" si="3"/>
        <v>8.307254293</v>
      </c>
      <c r="L16" s="168">
        <f t="shared" si="3"/>
        <v>8.847321545924757</v>
      </c>
      <c r="M16" s="168">
        <f t="shared" si="3"/>
        <v>9.553171106271567</v>
      </c>
      <c r="N16" s="168">
        <f t="shared" si="3"/>
        <v>10.29770016150998</v>
      </c>
      <c r="O16" s="168">
        <f t="shared" si="3"/>
        <v>0.76</v>
      </c>
      <c r="P16" s="168">
        <f t="shared" si="3"/>
        <v>0.81</v>
      </c>
      <c r="Q16" s="168">
        <f t="shared" si="3"/>
        <v>0.85</v>
      </c>
      <c r="R16" s="168">
        <f t="shared" si="3"/>
        <v>0.9</v>
      </c>
      <c r="S16" s="168">
        <f t="shared" si="3"/>
        <v>1.15</v>
      </c>
      <c r="T16" s="168">
        <f t="shared" si="3"/>
        <v>39</v>
      </c>
      <c r="U16" s="168">
        <f t="shared" si="3"/>
        <v>39</v>
      </c>
      <c r="V16" s="168">
        <f t="shared" si="3"/>
        <v>39</v>
      </c>
      <c r="W16" s="168">
        <f t="shared" si="3"/>
        <v>39</v>
      </c>
      <c r="X16" s="168">
        <f t="shared" si="3"/>
        <v>39</v>
      </c>
      <c r="Y16" s="168">
        <f t="shared" si="3"/>
        <v>0.564</v>
      </c>
      <c r="Z16" s="168">
        <f t="shared" si="3"/>
        <v>0.57</v>
      </c>
      <c r="AA16" s="168">
        <f t="shared" si="3"/>
        <v>0.59</v>
      </c>
      <c r="AB16" s="168">
        <f t="shared" si="3"/>
        <v>0.61</v>
      </c>
      <c r="AC16" s="168">
        <f t="shared" si="3"/>
        <v>0.66</v>
      </c>
      <c r="AD16" s="8"/>
      <c r="AE16" s="8"/>
      <c r="AF16" s="8"/>
      <c r="AG16" s="7"/>
      <c r="AH16" s="7"/>
      <c r="AI16" s="7"/>
      <c r="AJ16" s="7"/>
    </row>
    <row r="17" spans="1:36" ht="15.75" customHeight="1">
      <c r="A17" s="46"/>
      <c r="B17" s="310" t="s">
        <v>122</v>
      </c>
      <c r="C17" s="310"/>
      <c r="D17" s="311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8"/>
      <c r="AE17" s="8"/>
      <c r="AF17" s="8"/>
      <c r="AG17" s="7"/>
      <c r="AH17" s="7"/>
      <c r="AI17" s="7"/>
      <c r="AJ17" s="7"/>
    </row>
    <row r="18" spans="1:36" ht="15.75" customHeight="1">
      <c r="A18" s="277" t="s">
        <v>212</v>
      </c>
      <c r="B18" s="278"/>
      <c r="C18" s="278"/>
      <c r="D18" s="279"/>
      <c r="E18" s="168">
        <v>2.7</v>
      </c>
      <c r="F18" s="203">
        <f>2.7*1.651*1.051</f>
        <v>4.6850426999999994</v>
      </c>
      <c r="G18" s="203">
        <f>F18*1.019*1.051</f>
        <v>5.017535495376299</v>
      </c>
      <c r="H18" s="203">
        <f>G18*1.019*1.061</f>
        <v>5.4247536586455425</v>
      </c>
      <c r="I18" s="203">
        <f>H18*1.008*1.063</f>
        <v>5.812645244253334</v>
      </c>
      <c r="J18" s="168">
        <v>2.7</v>
      </c>
      <c r="K18" s="203">
        <f>2.7*1.651*1.051</f>
        <v>4.6850426999999994</v>
      </c>
      <c r="L18" s="203">
        <f>K18*1.019*1.051</f>
        <v>5.017535495376299</v>
      </c>
      <c r="M18" s="203">
        <f>L18*1.019*1.061</f>
        <v>5.4247536586455425</v>
      </c>
      <c r="N18" s="203">
        <f>M18*1.008*1.063</f>
        <v>5.812645244253334</v>
      </c>
      <c r="O18" s="168">
        <v>0.42</v>
      </c>
      <c r="P18" s="168">
        <v>0.45</v>
      </c>
      <c r="Q18" s="168">
        <v>0.47</v>
      </c>
      <c r="R18" s="168">
        <v>0.5</v>
      </c>
      <c r="S18" s="168">
        <v>0.7</v>
      </c>
      <c r="T18" s="168">
        <v>7</v>
      </c>
      <c r="U18" s="168">
        <v>7</v>
      </c>
      <c r="V18" s="168">
        <v>7</v>
      </c>
      <c r="W18" s="168">
        <v>7</v>
      </c>
      <c r="X18" s="168">
        <v>7</v>
      </c>
      <c r="Y18" s="168">
        <v>0.21</v>
      </c>
      <c r="Z18" s="168">
        <v>0.21</v>
      </c>
      <c r="AA18" s="168">
        <v>0.21</v>
      </c>
      <c r="AB18" s="168">
        <v>0.21</v>
      </c>
      <c r="AC18" s="168">
        <v>0.21</v>
      </c>
      <c r="AD18" s="8"/>
      <c r="AE18" s="8"/>
      <c r="AF18" s="8"/>
      <c r="AG18" s="7"/>
      <c r="AH18" s="7"/>
      <c r="AI18" s="7"/>
      <c r="AJ18" s="7"/>
    </row>
    <row r="19" spans="1:36" ht="15.75">
      <c r="A19" s="277" t="s">
        <v>187</v>
      </c>
      <c r="B19" s="278"/>
      <c r="C19" s="278"/>
      <c r="D19" s="279"/>
      <c r="E19" s="169">
        <v>3.443</v>
      </c>
      <c r="F19" s="200">
        <f>E19*1.001*1.051</f>
        <v>3.6222115929999994</v>
      </c>
      <c r="G19" s="200">
        <f>F19*1.006*1.051</f>
        <v>3.8297860505484573</v>
      </c>
      <c r="H19" s="200">
        <f>G19*1.016*1.061</f>
        <v>4.128417447626024</v>
      </c>
      <c r="I19" s="200">
        <f>H19*1.022*1.063</f>
        <v>4.485054917256646</v>
      </c>
      <c r="J19" s="169">
        <v>3.443</v>
      </c>
      <c r="K19" s="200">
        <f>J19*1.001*1.051</f>
        <v>3.6222115929999994</v>
      </c>
      <c r="L19" s="200">
        <f>K19*1.006*1.051</f>
        <v>3.8297860505484573</v>
      </c>
      <c r="M19" s="200">
        <f>L19*1.016*1.061</f>
        <v>4.128417447626024</v>
      </c>
      <c r="N19" s="200">
        <f>M19*1.022*1.063</f>
        <v>4.485054917256646</v>
      </c>
      <c r="O19" s="169">
        <v>0.34</v>
      </c>
      <c r="P19" s="169">
        <v>0.36</v>
      </c>
      <c r="Q19" s="169">
        <v>0.38</v>
      </c>
      <c r="R19" s="169">
        <v>0.4</v>
      </c>
      <c r="S19" s="169">
        <v>0.45</v>
      </c>
      <c r="T19" s="169">
        <v>32</v>
      </c>
      <c r="U19" s="169">
        <v>32</v>
      </c>
      <c r="V19" s="169">
        <v>32</v>
      </c>
      <c r="W19" s="169">
        <v>32</v>
      </c>
      <c r="X19" s="169">
        <v>32</v>
      </c>
      <c r="Y19" s="169">
        <v>0.354</v>
      </c>
      <c r="Z19" s="169">
        <v>0.36</v>
      </c>
      <c r="AA19" s="169">
        <v>0.38</v>
      </c>
      <c r="AB19" s="169">
        <v>0.4</v>
      </c>
      <c r="AC19" s="169">
        <v>0.45</v>
      </c>
      <c r="AD19" s="8"/>
      <c r="AE19" s="8"/>
      <c r="AF19" s="8"/>
      <c r="AG19" s="7"/>
      <c r="AH19" s="7"/>
      <c r="AI19" s="7"/>
      <c r="AJ19" s="7"/>
    </row>
    <row r="20" spans="1:36" ht="15.75">
      <c r="A20" s="49"/>
      <c r="B20" s="50"/>
      <c r="C20" s="280" t="s">
        <v>225</v>
      </c>
      <c r="D20" s="281"/>
      <c r="E20" s="170"/>
      <c r="F20" s="229">
        <v>105.1</v>
      </c>
      <c r="G20" s="229">
        <v>105.1</v>
      </c>
      <c r="H20" s="229">
        <v>106.1</v>
      </c>
      <c r="I20" s="229">
        <v>106.3</v>
      </c>
      <c r="J20" s="229"/>
      <c r="K20" s="229">
        <v>105.1</v>
      </c>
      <c r="L20" s="229">
        <v>105.1</v>
      </c>
      <c r="M20" s="229">
        <v>106.1</v>
      </c>
      <c r="N20" s="229">
        <v>106.3</v>
      </c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8"/>
      <c r="AE20" s="8"/>
      <c r="AF20" s="8"/>
      <c r="AG20" s="7"/>
      <c r="AH20" s="7"/>
      <c r="AI20" s="7"/>
      <c r="AJ20" s="7"/>
    </row>
    <row r="21" spans="1:36" ht="15.75">
      <c r="A21" s="49"/>
      <c r="B21" s="50"/>
      <c r="C21" s="275" t="s">
        <v>226</v>
      </c>
      <c r="D21" s="276"/>
      <c r="E21" s="171"/>
      <c r="F21" s="230">
        <v>109.2</v>
      </c>
      <c r="G21" s="230">
        <v>102.4</v>
      </c>
      <c r="H21" s="230">
        <v>107.6</v>
      </c>
      <c r="I21" s="230">
        <v>101.6</v>
      </c>
      <c r="J21" s="230"/>
      <c r="K21" s="230">
        <v>109.2</v>
      </c>
      <c r="L21" s="230">
        <v>102.4</v>
      </c>
      <c r="M21" s="230">
        <v>107.6</v>
      </c>
      <c r="N21" s="230">
        <v>101.6</v>
      </c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8"/>
      <c r="AE21" s="8"/>
      <c r="AF21" s="8"/>
      <c r="AG21" s="7"/>
      <c r="AH21" s="7"/>
      <c r="AI21" s="7"/>
      <c r="AJ21" s="7"/>
    </row>
    <row r="22" spans="1:36" ht="15.75">
      <c r="A22" s="49"/>
      <c r="B22" s="50"/>
      <c r="C22" s="312"/>
      <c r="D22" s="313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8"/>
      <c r="AE22" s="8"/>
      <c r="AF22" s="8"/>
      <c r="AG22" s="7"/>
      <c r="AH22" s="7"/>
      <c r="AI22" s="7"/>
      <c r="AJ22" s="7"/>
    </row>
    <row r="23" spans="1:36" ht="15.75">
      <c r="A23" s="307" t="s">
        <v>10</v>
      </c>
      <c r="B23" s="308"/>
      <c r="C23" s="308"/>
      <c r="D23" s="309"/>
      <c r="E23" s="172">
        <f>E25</f>
        <v>8.027</v>
      </c>
      <c r="F23" s="172">
        <f aca="true" t="shared" si="4" ref="F23:AC23">F25</f>
        <v>4</v>
      </c>
      <c r="G23" s="172">
        <f t="shared" si="4"/>
        <v>4.30144</v>
      </c>
      <c r="H23" s="172">
        <f t="shared" si="4"/>
        <v>4.792148275200001</v>
      </c>
      <c r="I23" s="172">
        <f t="shared" si="4"/>
        <v>5.476160351408949</v>
      </c>
      <c r="J23" s="172">
        <f t="shared" si="4"/>
        <v>8.027</v>
      </c>
      <c r="K23" s="172">
        <f t="shared" si="4"/>
        <v>4</v>
      </c>
      <c r="L23" s="172">
        <f t="shared" si="4"/>
        <v>4.30144</v>
      </c>
      <c r="M23" s="172">
        <f t="shared" si="4"/>
        <v>4.792148275200001</v>
      </c>
      <c r="N23" s="172">
        <f t="shared" si="4"/>
        <v>5.476160351408949</v>
      </c>
      <c r="O23" s="172">
        <f t="shared" si="4"/>
        <v>1.19</v>
      </c>
      <c r="P23" s="172">
        <f t="shared" si="4"/>
        <v>0.6</v>
      </c>
      <c r="Q23" s="172">
        <f t="shared" si="4"/>
        <v>0.65</v>
      </c>
      <c r="R23" s="172">
        <f t="shared" si="4"/>
        <v>0.69</v>
      </c>
      <c r="S23" s="172">
        <f t="shared" si="4"/>
        <v>0.73</v>
      </c>
      <c r="T23" s="172">
        <f t="shared" si="4"/>
        <v>16</v>
      </c>
      <c r="U23" s="172">
        <f t="shared" si="4"/>
        <v>14</v>
      </c>
      <c r="V23" s="172">
        <f t="shared" si="4"/>
        <v>14</v>
      </c>
      <c r="W23" s="172">
        <f t="shared" si="4"/>
        <v>14</v>
      </c>
      <c r="X23" s="172">
        <f t="shared" si="4"/>
        <v>14</v>
      </c>
      <c r="Y23" s="172">
        <f t="shared" si="4"/>
        <v>0.857</v>
      </c>
      <c r="Z23" s="172">
        <f t="shared" si="4"/>
        <v>0.8</v>
      </c>
      <c r="AA23" s="172">
        <f t="shared" si="4"/>
        <v>0.9</v>
      </c>
      <c r="AB23" s="172">
        <f t="shared" si="4"/>
        <v>0.98</v>
      </c>
      <c r="AC23" s="172">
        <f t="shared" si="4"/>
        <v>1</v>
      </c>
      <c r="AD23" s="8"/>
      <c r="AE23" s="8"/>
      <c r="AF23" s="8"/>
      <c r="AG23" s="7"/>
      <c r="AH23" s="7"/>
      <c r="AI23" s="7"/>
      <c r="AJ23" s="7"/>
    </row>
    <row r="24" spans="1:36" ht="15.75" customHeight="1">
      <c r="A24" s="46"/>
      <c r="B24" s="310" t="s">
        <v>122</v>
      </c>
      <c r="C24" s="310"/>
      <c r="D24" s="311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8"/>
      <c r="AE24" s="8"/>
      <c r="AF24" s="8"/>
      <c r="AG24" s="7"/>
      <c r="AH24" s="7"/>
      <c r="AI24" s="7"/>
      <c r="AJ24" s="7"/>
    </row>
    <row r="25" spans="1:36" ht="15.75">
      <c r="A25" s="277" t="s">
        <v>180</v>
      </c>
      <c r="B25" s="278"/>
      <c r="C25" s="278"/>
      <c r="D25" s="279"/>
      <c r="E25" s="169">
        <v>8.027</v>
      </c>
      <c r="F25" s="200">
        <v>4</v>
      </c>
      <c r="G25" s="200">
        <f>F25*1.04*1.034</f>
        <v>4.30144</v>
      </c>
      <c r="H25" s="200">
        <f>G25*1.056*1.055</f>
        <v>4.792148275200001</v>
      </c>
      <c r="I25" s="200">
        <f>H25*1.074*1.064</f>
        <v>5.476160351408949</v>
      </c>
      <c r="J25" s="169">
        <v>8.027</v>
      </c>
      <c r="K25" s="200">
        <v>4</v>
      </c>
      <c r="L25" s="200">
        <f>K25*1.04*1.034</f>
        <v>4.30144</v>
      </c>
      <c r="M25" s="200">
        <f>L25*1.056*1.055</f>
        <v>4.792148275200001</v>
      </c>
      <c r="N25" s="200">
        <f>M25*1.074*1.064</f>
        <v>5.476160351408949</v>
      </c>
      <c r="O25" s="172">
        <v>1.19</v>
      </c>
      <c r="P25" s="202">
        <v>0.6</v>
      </c>
      <c r="Q25" s="202">
        <v>0.65</v>
      </c>
      <c r="R25" s="202">
        <v>0.69</v>
      </c>
      <c r="S25" s="202">
        <v>0.73</v>
      </c>
      <c r="T25" s="169">
        <v>16</v>
      </c>
      <c r="U25" s="169">
        <v>14</v>
      </c>
      <c r="V25" s="169">
        <v>14</v>
      </c>
      <c r="W25" s="169">
        <v>14</v>
      </c>
      <c r="X25" s="169">
        <v>14</v>
      </c>
      <c r="Y25" s="169">
        <v>0.857</v>
      </c>
      <c r="Z25" s="169">
        <v>0.8</v>
      </c>
      <c r="AA25" s="169">
        <v>0.9</v>
      </c>
      <c r="AB25" s="169">
        <v>0.98</v>
      </c>
      <c r="AC25" s="169">
        <v>1</v>
      </c>
      <c r="AD25" s="8"/>
      <c r="AE25" s="8"/>
      <c r="AF25" s="8"/>
      <c r="AG25" s="7"/>
      <c r="AH25" s="7"/>
      <c r="AI25" s="7"/>
      <c r="AJ25" s="7"/>
    </row>
    <row r="26" spans="1:36" ht="15.75">
      <c r="A26" s="222"/>
      <c r="B26" s="223"/>
      <c r="C26" s="280" t="s">
        <v>225</v>
      </c>
      <c r="D26" s="281"/>
      <c r="E26" s="169"/>
      <c r="F26" s="200"/>
      <c r="G26" s="200">
        <v>104</v>
      </c>
      <c r="H26" s="200">
        <v>105.6</v>
      </c>
      <c r="I26" s="200">
        <v>107.4</v>
      </c>
      <c r="J26" s="169"/>
      <c r="K26" s="200"/>
      <c r="L26" s="200">
        <v>104</v>
      </c>
      <c r="M26" s="200">
        <v>105.6</v>
      </c>
      <c r="N26" s="200">
        <v>107.4</v>
      </c>
      <c r="O26" s="167"/>
      <c r="P26" s="214"/>
      <c r="Q26" s="214"/>
      <c r="R26" s="214"/>
      <c r="S26" s="214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8"/>
      <c r="AE26" s="8"/>
      <c r="AF26" s="8"/>
      <c r="AG26" s="7"/>
      <c r="AH26" s="7"/>
      <c r="AI26" s="7"/>
      <c r="AJ26" s="7"/>
    </row>
    <row r="27" spans="1:36" ht="15.75">
      <c r="A27" s="49"/>
      <c r="B27" s="50"/>
      <c r="C27" s="275" t="s">
        <v>226</v>
      </c>
      <c r="D27" s="276"/>
      <c r="E27" s="169"/>
      <c r="F27" s="169"/>
      <c r="G27" s="169">
        <v>103.4</v>
      </c>
      <c r="H27" s="169">
        <v>105.5</v>
      </c>
      <c r="I27" s="169">
        <v>106.4</v>
      </c>
      <c r="J27" s="169"/>
      <c r="K27" s="169"/>
      <c r="L27" s="169">
        <v>103.4</v>
      </c>
      <c r="M27" s="169">
        <v>105.5</v>
      </c>
      <c r="N27" s="169">
        <v>106.4</v>
      </c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8"/>
      <c r="AE27" s="8"/>
      <c r="AF27" s="8"/>
      <c r="AG27" s="7"/>
      <c r="AH27" s="7"/>
      <c r="AI27" s="7"/>
      <c r="AJ27" s="7"/>
    </row>
    <row r="28" spans="1:36" ht="15.75">
      <c r="A28" s="307" t="s">
        <v>11</v>
      </c>
      <c r="B28" s="308"/>
      <c r="C28" s="308"/>
      <c r="D28" s="309"/>
      <c r="E28" s="202">
        <f>E31+E32+E33+E34+E35</f>
        <v>15.158000000000001</v>
      </c>
      <c r="F28" s="202">
        <f aca="true" t="shared" si="5" ref="F28:AC28">F31+F32+F33+F34+F35</f>
        <v>7.10535138</v>
      </c>
      <c r="G28" s="202">
        <f t="shared" si="5"/>
        <v>7.149765309770199</v>
      </c>
      <c r="H28" s="202">
        <f t="shared" si="5"/>
        <v>8.178073155682588</v>
      </c>
      <c r="I28" s="202">
        <f t="shared" si="5"/>
        <v>9.057821197331986</v>
      </c>
      <c r="J28" s="202">
        <f t="shared" si="5"/>
        <v>15.158000000000001</v>
      </c>
      <c r="K28" s="202">
        <f t="shared" si="5"/>
        <v>7.10535138</v>
      </c>
      <c r="L28" s="202">
        <f t="shared" si="5"/>
        <v>7.149765309770199</v>
      </c>
      <c r="M28" s="202">
        <f t="shared" si="5"/>
        <v>8.178073155682588</v>
      </c>
      <c r="N28" s="202">
        <f t="shared" si="5"/>
        <v>9.057821197331986</v>
      </c>
      <c r="O28" s="172">
        <f t="shared" si="5"/>
        <v>0.704</v>
      </c>
      <c r="P28" s="172">
        <f t="shared" si="5"/>
        <v>0.8520000000000001</v>
      </c>
      <c r="Q28" s="172">
        <f t="shared" si="5"/>
        <v>0.348</v>
      </c>
      <c r="R28" s="172">
        <f t="shared" si="5"/>
        <v>0.362</v>
      </c>
      <c r="S28" s="172">
        <f t="shared" si="5"/>
        <v>0.366</v>
      </c>
      <c r="T28" s="172">
        <f t="shared" si="5"/>
        <v>145</v>
      </c>
      <c r="U28" s="172">
        <f t="shared" si="5"/>
        <v>144</v>
      </c>
      <c r="V28" s="172">
        <f t="shared" si="5"/>
        <v>84</v>
      </c>
      <c r="W28" s="172">
        <f t="shared" si="5"/>
        <v>89</v>
      </c>
      <c r="X28" s="172">
        <f t="shared" si="5"/>
        <v>91</v>
      </c>
      <c r="Y28" s="172">
        <f t="shared" si="5"/>
        <v>3.055</v>
      </c>
      <c r="Z28" s="172">
        <f t="shared" si="5"/>
        <v>2.408</v>
      </c>
      <c r="AA28" s="172">
        <f t="shared" si="5"/>
        <v>1.927</v>
      </c>
      <c r="AB28" s="172">
        <f t="shared" si="5"/>
        <v>1.957</v>
      </c>
      <c r="AC28" s="172">
        <f t="shared" si="5"/>
        <v>1.979</v>
      </c>
      <c r="AD28" s="8"/>
      <c r="AE28" s="8"/>
      <c r="AF28" s="8"/>
      <c r="AG28" s="7"/>
      <c r="AH28" s="7"/>
      <c r="AI28" s="7"/>
      <c r="AJ28" s="7"/>
    </row>
    <row r="29" spans="1:36" ht="15.75" customHeight="1">
      <c r="A29" s="46"/>
      <c r="B29" s="310" t="s">
        <v>122</v>
      </c>
      <c r="C29" s="310"/>
      <c r="D29" s="311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8"/>
      <c r="AE29" s="8"/>
      <c r="AF29" s="8"/>
      <c r="AG29" s="7"/>
      <c r="AH29" s="7"/>
      <c r="AI29" s="7"/>
      <c r="AJ29" s="7"/>
    </row>
    <row r="30" spans="1:36" ht="15.75" customHeight="1">
      <c r="A30" s="345"/>
      <c r="B30" s="346"/>
      <c r="C30" s="346"/>
      <c r="D30" s="347"/>
      <c r="E30" s="168"/>
      <c r="F30" s="168"/>
      <c r="G30" s="203"/>
      <c r="H30" s="203"/>
      <c r="I30" s="203"/>
      <c r="J30" s="168"/>
      <c r="K30" s="168"/>
      <c r="L30" s="203"/>
      <c r="M30" s="203"/>
      <c r="N30" s="203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8"/>
      <c r="AE30" s="8"/>
      <c r="AF30" s="8"/>
      <c r="AG30" s="7"/>
      <c r="AH30" s="7"/>
      <c r="AI30" s="7"/>
      <c r="AJ30" s="7"/>
    </row>
    <row r="31" spans="1:36" ht="15.75" customHeight="1">
      <c r="A31" s="345" t="s">
        <v>181</v>
      </c>
      <c r="B31" s="346"/>
      <c r="C31" s="346"/>
      <c r="D31" s="347"/>
      <c r="E31" s="203">
        <v>4.3</v>
      </c>
      <c r="F31" s="203">
        <f>3.8*1.038*1.046</f>
        <v>4.1258424</v>
      </c>
      <c r="G31" s="203">
        <f>3.7*1.055*1.138</f>
        <v>4.442182999999999</v>
      </c>
      <c r="H31" s="203">
        <f>G31*1.072*1.067</f>
        <v>5.081075527791999</v>
      </c>
      <c r="I31" s="203">
        <f>H31*1.039*1.066</f>
        <v>5.627667146618695</v>
      </c>
      <c r="J31" s="203">
        <v>4.3</v>
      </c>
      <c r="K31" s="203">
        <f>3.8*1.038*1.046</f>
        <v>4.1258424</v>
      </c>
      <c r="L31" s="203">
        <f>3.7*1.055*1.138</f>
        <v>4.442182999999999</v>
      </c>
      <c r="M31" s="203">
        <f>L31*1.072*1.067</f>
        <v>5.081075527791999</v>
      </c>
      <c r="N31" s="203">
        <f>M31*1.039*1.066</f>
        <v>5.627667146618695</v>
      </c>
      <c r="O31" s="168">
        <v>0.314</v>
      </c>
      <c r="P31" s="168">
        <v>0.755</v>
      </c>
      <c r="Q31" s="168">
        <v>0.2</v>
      </c>
      <c r="R31" s="168">
        <v>0.2</v>
      </c>
      <c r="S31" s="168">
        <v>0.2</v>
      </c>
      <c r="T31" s="168">
        <v>66</v>
      </c>
      <c r="U31" s="168">
        <v>65</v>
      </c>
      <c r="V31" s="168">
        <v>60</v>
      </c>
      <c r="W31" s="168">
        <v>60</v>
      </c>
      <c r="X31" s="168">
        <v>60</v>
      </c>
      <c r="Y31" s="168">
        <v>0.961</v>
      </c>
      <c r="Z31" s="168">
        <v>1.548</v>
      </c>
      <c r="AA31" s="168">
        <v>1.5</v>
      </c>
      <c r="AB31" s="168">
        <v>1.5</v>
      </c>
      <c r="AC31" s="168">
        <v>1.5</v>
      </c>
      <c r="AD31" s="8"/>
      <c r="AE31" s="8"/>
      <c r="AF31" s="8"/>
      <c r="AG31" s="7"/>
      <c r="AH31" s="7"/>
      <c r="AI31" s="7"/>
      <c r="AJ31" s="7"/>
    </row>
    <row r="32" spans="1:36" ht="15.75">
      <c r="A32" s="348" t="s">
        <v>182</v>
      </c>
      <c r="B32" s="349"/>
      <c r="C32" s="349"/>
      <c r="D32" s="350"/>
      <c r="E32" s="200">
        <v>8.3</v>
      </c>
      <c r="F32" s="200">
        <v>0.39</v>
      </c>
      <c r="G32" s="203">
        <v>0</v>
      </c>
      <c r="H32" s="203">
        <v>0</v>
      </c>
      <c r="I32" s="203">
        <v>0</v>
      </c>
      <c r="J32" s="200">
        <v>8.3</v>
      </c>
      <c r="K32" s="200">
        <v>0.39</v>
      </c>
      <c r="L32" s="203">
        <v>0</v>
      </c>
      <c r="M32" s="203">
        <v>0</v>
      </c>
      <c r="N32" s="203">
        <v>0</v>
      </c>
      <c r="O32" s="169">
        <v>0.165</v>
      </c>
      <c r="P32" s="169">
        <v>-0.085</v>
      </c>
      <c r="Q32" s="169">
        <v>0</v>
      </c>
      <c r="R32" s="169">
        <v>0</v>
      </c>
      <c r="S32" s="169">
        <v>0</v>
      </c>
      <c r="T32" s="169">
        <v>52</v>
      </c>
      <c r="U32" s="169">
        <v>52</v>
      </c>
      <c r="V32" s="169">
        <v>0</v>
      </c>
      <c r="W32" s="169">
        <v>0</v>
      </c>
      <c r="X32" s="169">
        <v>0</v>
      </c>
      <c r="Y32" s="169">
        <v>1.719</v>
      </c>
      <c r="Z32" s="169">
        <v>0.415</v>
      </c>
      <c r="AA32" s="169">
        <v>0</v>
      </c>
      <c r="AB32" s="169">
        <v>0</v>
      </c>
      <c r="AC32" s="169">
        <v>0</v>
      </c>
      <c r="AD32" s="8"/>
      <c r="AE32" s="8"/>
      <c r="AF32" s="8"/>
      <c r="AG32" s="7"/>
      <c r="AH32" s="7"/>
      <c r="AI32" s="7"/>
      <c r="AJ32" s="7"/>
    </row>
    <row r="33" spans="1:36" ht="15.75">
      <c r="A33" s="348" t="s">
        <v>206</v>
      </c>
      <c r="B33" s="349"/>
      <c r="C33" s="349"/>
      <c r="D33" s="350"/>
      <c r="E33" s="215">
        <v>0.097</v>
      </c>
      <c r="F33" s="215">
        <f>0.1*1.038*1.046</f>
        <v>0.10857480000000001</v>
      </c>
      <c r="G33" s="203">
        <f>0.1*1.055*1.138</f>
        <v>0.12005899999999999</v>
      </c>
      <c r="H33" s="203">
        <f>G33*1.067*1.072</f>
        <v>0.137326365616</v>
      </c>
      <c r="I33" s="203">
        <f>H33*1.039*1.066</f>
        <v>0.1520991120707756</v>
      </c>
      <c r="J33" s="215">
        <v>0.097</v>
      </c>
      <c r="K33" s="215">
        <f>0.1*1.038*1.046</f>
        <v>0.10857480000000001</v>
      </c>
      <c r="L33" s="203">
        <f>0.1*1.055*1.138</f>
        <v>0.12005899999999999</v>
      </c>
      <c r="M33" s="203">
        <f>L33*1.067*1.072</f>
        <v>0.137326365616</v>
      </c>
      <c r="N33" s="203">
        <f>M33*1.039*1.066</f>
        <v>0.1520991120707756</v>
      </c>
      <c r="O33" s="173">
        <v>0.01</v>
      </c>
      <c r="P33" s="173">
        <v>0.025</v>
      </c>
      <c r="Q33" s="173">
        <v>0.025</v>
      </c>
      <c r="R33" s="173">
        <v>0.035</v>
      </c>
      <c r="S33" s="173">
        <v>0.035</v>
      </c>
      <c r="T33" s="173">
        <v>14</v>
      </c>
      <c r="U33" s="173">
        <v>14</v>
      </c>
      <c r="V33" s="173">
        <v>14</v>
      </c>
      <c r="W33" s="173">
        <v>14</v>
      </c>
      <c r="X33" s="173">
        <v>14</v>
      </c>
      <c r="Y33" s="173">
        <v>0.221</v>
      </c>
      <c r="Z33" s="173">
        <v>0.29</v>
      </c>
      <c r="AA33" s="173">
        <v>0.29</v>
      </c>
      <c r="AB33" s="173">
        <v>0.3</v>
      </c>
      <c r="AC33" s="173">
        <v>0.31</v>
      </c>
      <c r="AD33" s="8"/>
      <c r="AE33" s="8"/>
      <c r="AF33" s="8"/>
      <c r="AG33" s="7"/>
      <c r="AH33" s="7"/>
      <c r="AI33" s="7"/>
      <c r="AJ33" s="7"/>
    </row>
    <row r="34" spans="1:36" ht="15.75">
      <c r="A34" s="348" t="s">
        <v>207</v>
      </c>
      <c r="B34" s="349"/>
      <c r="C34" s="349"/>
      <c r="D34" s="350"/>
      <c r="E34" s="215">
        <v>0.51</v>
      </c>
      <c r="F34" s="215">
        <f>0.3*1.038*1.046</f>
        <v>0.3257244</v>
      </c>
      <c r="G34" s="203">
        <v>0</v>
      </c>
      <c r="H34" s="203">
        <v>0</v>
      </c>
      <c r="I34" s="203">
        <v>0</v>
      </c>
      <c r="J34" s="215">
        <v>0.51</v>
      </c>
      <c r="K34" s="215">
        <f>0.3*1.038*1.046</f>
        <v>0.3257244</v>
      </c>
      <c r="L34" s="203">
        <v>0</v>
      </c>
      <c r="M34" s="203">
        <v>0</v>
      </c>
      <c r="N34" s="203">
        <v>0</v>
      </c>
      <c r="O34" s="173">
        <v>0.1</v>
      </c>
      <c r="P34" s="173">
        <v>0.04</v>
      </c>
      <c r="Q34" s="173">
        <v>0</v>
      </c>
      <c r="R34" s="173">
        <v>0</v>
      </c>
      <c r="S34" s="173">
        <v>0</v>
      </c>
      <c r="T34" s="173">
        <v>3</v>
      </c>
      <c r="U34" s="173">
        <v>3</v>
      </c>
      <c r="V34" s="173">
        <v>0</v>
      </c>
      <c r="W34" s="173">
        <v>0</v>
      </c>
      <c r="X34" s="173">
        <v>0</v>
      </c>
      <c r="Y34" s="173">
        <v>0.03</v>
      </c>
      <c r="Z34" s="173">
        <v>0.026</v>
      </c>
      <c r="AA34" s="173">
        <v>0</v>
      </c>
      <c r="AB34" s="173">
        <v>0</v>
      </c>
      <c r="AC34" s="173">
        <v>0</v>
      </c>
      <c r="AD34" s="8"/>
      <c r="AE34" s="8"/>
      <c r="AF34" s="8"/>
      <c r="AG34" s="7"/>
      <c r="AH34" s="7"/>
      <c r="AI34" s="7"/>
      <c r="AJ34" s="7"/>
    </row>
    <row r="35" spans="1:36" ht="15.75">
      <c r="A35" s="339" t="s">
        <v>208</v>
      </c>
      <c r="B35" s="340"/>
      <c r="C35" s="340"/>
      <c r="D35" s="341"/>
      <c r="E35" s="204">
        <v>1.951</v>
      </c>
      <c r="F35" s="204">
        <f>1.985*1.038*1.046</f>
        <v>2.1552097800000003</v>
      </c>
      <c r="G35" s="204">
        <f>F35*1.138*1.055</f>
        <v>2.5875233097702</v>
      </c>
      <c r="H35" s="204">
        <f>G35*1.067*1.072</f>
        <v>2.9596712622745893</v>
      </c>
      <c r="I35" s="204">
        <f>H35*1.039*1.066</f>
        <v>3.2780549386425157</v>
      </c>
      <c r="J35" s="204">
        <v>1.951</v>
      </c>
      <c r="K35" s="204">
        <f>1.985*1.038*1.046</f>
        <v>2.1552097800000003</v>
      </c>
      <c r="L35" s="204">
        <f>K35*1.138*1.055</f>
        <v>2.5875233097702</v>
      </c>
      <c r="M35" s="204">
        <f>L35*1.067*1.072</f>
        <v>2.9596712622745893</v>
      </c>
      <c r="N35" s="204">
        <f>M35*1.039*1.066</f>
        <v>3.2780549386425157</v>
      </c>
      <c r="O35" s="171">
        <v>0.115</v>
      </c>
      <c r="P35" s="171">
        <v>0.117</v>
      </c>
      <c r="Q35" s="171">
        <v>0.123</v>
      </c>
      <c r="R35" s="171">
        <v>0.127</v>
      </c>
      <c r="S35" s="171">
        <v>0.131</v>
      </c>
      <c r="T35" s="171">
        <v>10</v>
      </c>
      <c r="U35" s="171">
        <v>10</v>
      </c>
      <c r="V35" s="171">
        <v>10</v>
      </c>
      <c r="W35" s="171">
        <v>15</v>
      </c>
      <c r="X35" s="171">
        <v>17</v>
      </c>
      <c r="Y35" s="171">
        <v>0.124</v>
      </c>
      <c r="Z35" s="171">
        <v>0.129</v>
      </c>
      <c r="AA35" s="171">
        <v>0.137</v>
      </c>
      <c r="AB35" s="171">
        <v>0.157</v>
      </c>
      <c r="AC35" s="171">
        <v>0.169</v>
      </c>
      <c r="AD35" s="8"/>
      <c r="AE35" s="8"/>
      <c r="AF35" s="8"/>
      <c r="AG35" s="7"/>
      <c r="AH35" s="7"/>
      <c r="AI35" s="7"/>
      <c r="AJ35" s="7"/>
    </row>
    <row r="36" spans="1:36" ht="15.75">
      <c r="A36" s="222"/>
      <c r="B36" s="223"/>
      <c r="C36" s="280" t="s">
        <v>225</v>
      </c>
      <c r="D36" s="281"/>
      <c r="E36" s="203"/>
      <c r="F36" s="203">
        <v>104.6</v>
      </c>
      <c r="G36" s="203">
        <v>113.8</v>
      </c>
      <c r="H36" s="203">
        <v>107.2</v>
      </c>
      <c r="I36" s="203">
        <v>106.6</v>
      </c>
      <c r="J36" s="203"/>
      <c r="K36" s="203">
        <v>104.6</v>
      </c>
      <c r="L36" s="203">
        <v>113.8</v>
      </c>
      <c r="M36" s="203">
        <v>107.2</v>
      </c>
      <c r="N36" s="203">
        <v>106.6</v>
      </c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8"/>
      <c r="AE36" s="8"/>
      <c r="AF36" s="8"/>
      <c r="AG36" s="7"/>
      <c r="AH36" s="7"/>
      <c r="AI36" s="7"/>
      <c r="AJ36" s="7"/>
    </row>
    <row r="37" spans="1:36" ht="15.75">
      <c r="A37" s="222"/>
      <c r="B37" s="223"/>
      <c r="C37" s="275" t="s">
        <v>226</v>
      </c>
      <c r="D37" s="276"/>
      <c r="E37" s="203"/>
      <c r="F37" s="203">
        <v>103.8</v>
      </c>
      <c r="G37" s="203">
        <v>105.5</v>
      </c>
      <c r="H37" s="203">
        <v>106.7</v>
      </c>
      <c r="I37" s="203">
        <v>104</v>
      </c>
      <c r="J37" s="203"/>
      <c r="K37" s="203">
        <v>103.8</v>
      </c>
      <c r="L37" s="203">
        <v>105.5</v>
      </c>
      <c r="M37" s="203">
        <v>106.7</v>
      </c>
      <c r="N37" s="203">
        <v>104</v>
      </c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8"/>
      <c r="AE37" s="8"/>
      <c r="AF37" s="8"/>
      <c r="AG37" s="7"/>
      <c r="AH37" s="7"/>
      <c r="AI37" s="7"/>
      <c r="AJ37" s="7"/>
    </row>
    <row r="38" spans="1:36" ht="49.5" customHeight="1">
      <c r="A38" s="354" t="s">
        <v>113</v>
      </c>
      <c r="B38" s="355"/>
      <c r="C38" s="355"/>
      <c r="D38" s="356"/>
      <c r="E38" s="168">
        <f>E41+E42</f>
        <v>0.901</v>
      </c>
      <c r="F38" s="168">
        <f aca="true" t="shared" si="6" ref="F38:AC38">F41+F42</f>
        <v>3.22</v>
      </c>
      <c r="G38" s="168">
        <f t="shared" si="6"/>
        <v>3.7</v>
      </c>
      <c r="H38" s="168">
        <f t="shared" si="6"/>
        <v>4.8</v>
      </c>
      <c r="I38" s="168">
        <f t="shared" si="6"/>
        <v>5.5</v>
      </c>
      <c r="J38" s="168">
        <f t="shared" si="6"/>
        <v>0.901</v>
      </c>
      <c r="K38" s="168">
        <f t="shared" si="6"/>
        <v>3.22</v>
      </c>
      <c r="L38" s="168">
        <f t="shared" si="6"/>
        <v>3.7</v>
      </c>
      <c r="M38" s="168">
        <f t="shared" si="6"/>
        <v>4.8</v>
      </c>
      <c r="N38" s="168">
        <f t="shared" si="6"/>
        <v>5.5</v>
      </c>
      <c r="O38" s="168">
        <f t="shared" si="6"/>
        <v>-0.356</v>
      </c>
      <c r="P38" s="168">
        <f t="shared" si="6"/>
        <v>0.2</v>
      </c>
      <c r="Q38" s="168">
        <f t="shared" si="6"/>
        <v>0.31</v>
      </c>
      <c r="R38" s="168">
        <f t="shared" si="6"/>
        <v>0.8</v>
      </c>
      <c r="S38" s="168">
        <f t="shared" si="6"/>
        <v>1</v>
      </c>
      <c r="T38" s="168">
        <f t="shared" si="6"/>
        <v>30</v>
      </c>
      <c r="U38" s="168">
        <f t="shared" si="6"/>
        <v>25</v>
      </c>
      <c r="V38" s="168">
        <f t="shared" si="6"/>
        <v>28</v>
      </c>
      <c r="W38" s="168">
        <f t="shared" si="6"/>
        <v>42</v>
      </c>
      <c r="X38" s="168">
        <f t="shared" si="6"/>
        <v>50</v>
      </c>
      <c r="Y38" s="168">
        <f t="shared" si="6"/>
        <v>1.847</v>
      </c>
      <c r="Z38" s="168">
        <f t="shared" si="6"/>
        <v>1.9</v>
      </c>
      <c r="AA38" s="168">
        <f t="shared" si="6"/>
        <v>1.95</v>
      </c>
      <c r="AB38" s="168">
        <f t="shared" si="6"/>
        <v>2.4</v>
      </c>
      <c r="AC38" s="168">
        <f t="shared" si="6"/>
        <v>2.7</v>
      </c>
      <c r="AD38" s="8"/>
      <c r="AE38" s="8"/>
      <c r="AF38" s="8"/>
      <c r="AG38" s="7"/>
      <c r="AH38" s="7"/>
      <c r="AI38" s="7"/>
      <c r="AJ38" s="7"/>
    </row>
    <row r="39" spans="1:36" ht="15.75" customHeight="1">
      <c r="A39" s="46"/>
      <c r="B39" s="310" t="s">
        <v>122</v>
      </c>
      <c r="C39" s="310"/>
      <c r="D39" s="311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8"/>
      <c r="AE39" s="8"/>
      <c r="AF39" s="8"/>
      <c r="AG39" s="7"/>
      <c r="AH39" s="7"/>
      <c r="AI39" s="7"/>
      <c r="AJ39" s="7"/>
    </row>
    <row r="40" spans="1:36" ht="12.75" customHeight="1">
      <c r="A40" s="46"/>
      <c r="B40" s="47"/>
      <c r="C40" s="47"/>
      <c r="D40" s="4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8"/>
      <c r="AE40" s="8"/>
      <c r="AF40" s="8"/>
      <c r="AG40" s="7"/>
      <c r="AH40" s="7"/>
      <c r="AI40" s="7"/>
      <c r="AJ40" s="7"/>
    </row>
    <row r="41" spans="1:36" ht="15.75">
      <c r="A41" s="49"/>
      <c r="B41" s="366" t="s">
        <v>188</v>
      </c>
      <c r="C41" s="366"/>
      <c r="D41" s="367"/>
      <c r="E41" s="168">
        <v>0.901</v>
      </c>
      <c r="F41" s="168">
        <v>0</v>
      </c>
      <c r="G41" s="168">
        <v>0</v>
      </c>
      <c r="H41" s="168">
        <v>0</v>
      </c>
      <c r="I41" s="168">
        <v>0</v>
      </c>
      <c r="J41" s="168">
        <v>0.901</v>
      </c>
      <c r="K41" s="168">
        <v>0</v>
      </c>
      <c r="L41" s="168">
        <v>0</v>
      </c>
      <c r="M41" s="168">
        <v>0</v>
      </c>
      <c r="N41" s="168">
        <v>0</v>
      </c>
      <c r="O41" s="168">
        <v>-0.356</v>
      </c>
      <c r="P41" s="168">
        <v>0</v>
      </c>
      <c r="Q41" s="168">
        <v>0</v>
      </c>
      <c r="R41" s="168">
        <v>0</v>
      </c>
      <c r="S41" s="168">
        <v>0</v>
      </c>
      <c r="T41" s="168">
        <v>30</v>
      </c>
      <c r="U41" s="168">
        <v>0</v>
      </c>
      <c r="V41" s="168">
        <v>0</v>
      </c>
      <c r="W41" s="168">
        <v>0</v>
      </c>
      <c r="X41" s="168">
        <v>0</v>
      </c>
      <c r="Y41" s="168">
        <v>1.847</v>
      </c>
      <c r="Z41" s="168">
        <v>0</v>
      </c>
      <c r="AA41" s="168">
        <v>0</v>
      </c>
      <c r="AB41" s="168">
        <v>0</v>
      </c>
      <c r="AC41" s="168">
        <v>0</v>
      </c>
      <c r="AD41" s="8"/>
      <c r="AE41" s="8"/>
      <c r="AF41" s="8"/>
      <c r="AG41" s="7"/>
      <c r="AH41" s="7"/>
      <c r="AI41" s="7"/>
      <c r="AJ41" s="7"/>
    </row>
    <row r="42" spans="1:36" ht="15.75">
      <c r="A42" s="46"/>
      <c r="B42" s="368" t="s">
        <v>189</v>
      </c>
      <c r="C42" s="368"/>
      <c r="D42" s="369"/>
      <c r="E42" s="169">
        <v>0</v>
      </c>
      <c r="F42" s="169">
        <v>3.22</v>
      </c>
      <c r="G42" s="169">
        <v>3.7</v>
      </c>
      <c r="H42" s="169">
        <v>4.8</v>
      </c>
      <c r="I42" s="169">
        <v>5.5</v>
      </c>
      <c r="J42" s="169">
        <v>0</v>
      </c>
      <c r="K42" s="169">
        <v>3.22</v>
      </c>
      <c r="L42" s="169">
        <v>3.7</v>
      </c>
      <c r="M42" s="169">
        <v>4.8</v>
      </c>
      <c r="N42" s="169">
        <v>5.5</v>
      </c>
      <c r="O42" s="169">
        <v>0</v>
      </c>
      <c r="P42" s="169">
        <v>0.2</v>
      </c>
      <c r="Q42" s="169">
        <v>0.31</v>
      </c>
      <c r="R42" s="169">
        <v>0.8</v>
      </c>
      <c r="S42" s="169">
        <v>1</v>
      </c>
      <c r="T42" s="169">
        <v>0</v>
      </c>
      <c r="U42" s="169">
        <v>25</v>
      </c>
      <c r="V42" s="169">
        <v>28</v>
      </c>
      <c r="W42" s="169">
        <v>42</v>
      </c>
      <c r="X42" s="169">
        <v>50</v>
      </c>
      <c r="Y42" s="169">
        <v>0</v>
      </c>
      <c r="Z42" s="169">
        <v>1.9</v>
      </c>
      <c r="AA42" s="169">
        <v>1.95</v>
      </c>
      <c r="AB42" s="169">
        <v>2.4</v>
      </c>
      <c r="AC42" s="169">
        <v>2.7</v>
      </c>
      <c r="AD42" s="8"/>
      <c r="AE42" s="8"/>
      <c r="AF42" s="8"/>
      <c r="AG42" s="7"/>
      <c r="AH42" s="7"/>
      <c r="AI42" s="7"/>
      <c r="AJ42" s="7"/>
    </row>
    <row r="43" spans="1:36" ht="15.75">
      <c r="A43" s="46"/>
      <c r="B43" s="223"/>
      <c r="C43" s="280" t="s">
        <v>225</v>
      </c>
      <c r="D43" s="281"/>
      <c r="E43" s="173"/>
      <c r="F43" s="173">
        <v>99.4</v>
      </c>
      <c r="G43" s="173">
        <v>109.5</v>
      </c>
      <c r="H43" s="173">
        <v>110.2</v>
      </c>
      <c r="I43" s="173">
        <v>108.9</v>
      </c>
      <c r="J43" s="173"/>
      <c r="K43" s="173">
        <v>99.4</v>
      </c>
      <c r="L43" s="173">
        <v>109.5</v>
      </c>
      <c r="M43" s="173">
        <v>110.2</v>
      </c>
      <c r="N43" s="173">
        <v>108.9</v>
      </c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8"/>
      <c r="AE43" s="8"/>
      <c r="AF43" s="8"/>
      <c r="AG43" s="7"/>
      <c r="AH43" s="7"/>
      <c r="AI43" s="7"/>
      <c r="AJ43" s="7"/>
    </row>
    <row r="44" spans="1:36" ht="15.75">
      <c r="A44" s="49"/>
      <c r="B44" s="50"/>
      <c r="C44" s="275" t="s">
        <v>226</v>
      </c>
      <c r="D44" s="276"/>
      <c r="E44" s="171"/>
      <c r="F44" s="171">
        <v>135.2</v>
      </c>
      <c r="G44" s="171">
        <v>128.1</v>
      </c>
      <c r="H44" s="171">
        <v>119.6</v>
      </c>
      <c r="I44" s="171">
        <v>112</v>
      </c>
      <c r="J44" s="171"/>
      <c r="K44" s="171">
        <v>135.2</v>
      </c>
      <c r="L44" s="171">
        <v>128.1</v>
      </c>
      <c r="M44" s="171">
        <v>119.6</v>
      </c>
      <c r="N44" s="171">
        <v>112</v>
      </c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8"/>
      <c r="AE44" s="8"/>
      <c r="AF44" s="8"/>
      <c r="AG44" s="7"/>
      <c r="AH44" s="7"/>
      <c r="AI44" s="7"/>
      <c r="AJ44" s="7"/>
    </row>
    <row r="45" spans="1:36" ht="12.75" customHeight="1">
      <c r="A45" s="307" t="s">
        <v>12</v>
      </c>
      <c r="B45" s="308"/>
      <c r="C45" s="308"/>
      <c r="D45" s="309"/>
      <c r="E45" s="172"/>
      <c r="F45" s="172"/>
      <c r="G45" s="172"/>
      <c r="H45" s="172"/>
      <c r="I45" s="172"/>
      <c r="J45" s="202">
        <f>J47+J48+J49+J50+J51+J52+J53+J54+J55+J56+J57+J58+J59+J60+J61+J62+J63+J64+J65+J66+J67+J68+J69+J70+J71+J72+J73+J74+J75+J76+J77+J78+J79+J80+J81+J82+J83</f>
        <v>91.26299999999998</v>
      </c>
      <c r="K45" s="203">
        <f>J45*1.124*1.111</f>
        <v>113.96594893199998</v>
      </c>
      <c r="L45" s="203">
        <f>K45*1.115*1.113</f>
        <v>141.4311727948673</v>
      </c>
      <c r="M45" s="203">
        <f>L45*1.079*1.113</f>
        <v>169.84851405102162</v>
      </c>
      <c r="N45" s="203">
        <f>M45*1.06*1.114</f>
        <v>200.56391933200842</v>
      </c>
      <c r="O45" s="202">
        <f>O47+O48+O49+O50+O51+O52+O53+O54+O55+O56+O57+O58+O59+O60+O61+O62+O63+O64+O65+O66+O67+O68+O69+O70+O71+O72+O73+O74+O75+O76+O77+O78+O79+O80+O81+O82+O83</f>
        <v>4.885</v>
      </c>
      <c r="P45" s="203">
        <f>O45*1.124*1.111</f>
        <v>6.100212140000001</v>
      </c>
      <c r="Q45" s="203">
        <f>P45*1.115*1.113</f>
        <v>7.570332764679301</v>
      </c>
      <c r="R45" s="203">
        <f>Q45*1.079*1.113</f>
        <v>9.091417016088018</v>
      </c>
      <c r="S45" s="203">
        <f>R45*1.06*1.114</f>
        <v>10.735508869277377</v>
      </c>
      <c r="T45" s="202">
        <f>T47+T48+T49+T84</f>
        <v>181</v>
      </c>
      <c r="U45" s="202">
        <f aca="true" t="shared" si="7" ref="U45:AC45">U47+U48+U49+U84</f>
        <v>186</v>
      </c>
      <c r="V45" s="202">
        <f t="shared" si="7"/>
        <v>187</v>
      </c>
      <c r="W45" s="202">
        <f t="shared" si="7"/>
        <v>189</v>
      </c>
      <c r="X45" s="202">
        <f t="shared" si="7"/>
        <v>190</v>
      </c>
      <c r="Y45" s="202">
        <f t="shared" si="7"/>
        <v>9.316199999999998</v>
      </c>
      <c r="Z45" s="202">
        <f t="shared" si="7"/>
        <v>9.684</v>
      </c>
      <c r="AA45" s="202">
        <f t="shared" si="7"/>
        <v>10.6524</v>
      </c>
      <c r="AB45" s="202">
        <f t="shared" si="7"/>
        <v>11.717640000000003</v>
      </c>
      <c r="AC45" s="202">
        <f t="shared" si="7"/>
        <v>12.889404000000006</v>
      </c>
      <c r="AD45" s="8"/>
      <c r="AE45" s="8"/>
      <c r="AF45" s="8"/>
      <c r="AG45" s="7"/>
      <c r="AH45" s="7"/>
      <c r="AI45" s="7"/>
      <c r="AJ45" s="7"/>
    </row>
    <row r="46" spans="1:36" ht="12.75" customHeight="1">
      <c r="A46" s="46"/>
      <c r="B46" s="310" t="s">
        <v>122</v>
      </c>
      <c r="C46" s="310"/>
      <c r="D46" s="311"/>
      <c r="E46" s="171"/>
      <c r="F46" s="171"/>
      <c r="G46" s="171"/>
      <c r="H46" s="171"/>
      <c r="I46" s="171"/>
      <c r="J46" s="204">
        <f>J49+J48+J47</f>
        <v>38.323</v>
      </c>
      <c r="K46" s="204">
        <f aca="true" t="shared" si="8" ref="K46:AC46">K49+K48+K47</f>
        <v>47.856382772</v>
      </c>
      <c r="L46" s="204">
        <f t="shared" si="8"/>
        <v>59.38953173813815</v>
      </c>
      <c r="M46" s="204">
        <f t="shared" si="8"/>
        <v>71.32249218168704</v>
      </c>
      <c r="N46" s="204">
        <f t="shared" si="8"/>
        <v>84.22045166782333</v>
      </c>
      <c r="O46" s="204">
        <f t="shared" si="8"/>
        <v>0.8440000000000001</v>
      </c>
      <c r="P46" s="203">
        <f t="shared" si="8"/>
        <v>1.0355688</v>
      </c>
      <c r="Q46" s="203">
        <f t="shared" si="8"/>
        <v>1.2765389059584002</v>
      </c>
      <c r="R46" s="203">
        <f t="shared" si="8"/>
        <v>1.6204281595296015</v>
      </c>
      <c r="S46" s="203">
        <f t="shared" si="8"/>
        <v>2.048144222397812</v>
      </c>
      <c r="T46" s="171">
        <f t="shared" si="8"/>
        <v>87</v>
      </c>
      <c r="U46" s="171">
        <f t="shared" si="8"/>
        <v>85</v>
      </c>
      <c r="V46" s="171">
        <f t="shared" si="8"/>
        <v>85</v>
      </c>
      <c r="W46" s="171">
        <f t="shared" si="8"/>
        <v>86</v>
      </c>
      <c r="X46" s="171">
        <f t="shared" si="8"/>
        <v>87</v>
      </c>
      <c r="Y46" s="204">
        <f t="shared" si="8"/>
        <v>5.6102</v>
      </c>
      <c r="Z46" s="204">
        <f t="shared" si="8"/>
        <v>5.728</v>
      </c>
      <c r="AA46" s="204">
        <f t="shared" si="8"/>
        <v>6.300800000000001</v>
      </c>
      <c r="AB46" s="204">
        <f t="shared" si="8"/>
        <v>6.930880000000002</v>
      </c>
      <c r="AC46" s="204">
        <f t="shared" si="8"/>
        <v>7.623968000000003</v>
      </c>
      <c r="AD46" s="8"/>
      <c r="AE46" s="8"/>
      <c r="AF46" s="8"/>
      <c r="AG46" s="7"/>
      <c r="AH46" s="7"/>
      <c r="AI46" s="7"/>
      <c r="AJ46" s="7"/>
    </row>
    <row r="47" spans="1:36" ht="12.75" customHeight="1">
      <c r="A47" s="277" t="s">
        <v>179</v>
      </c>
      <c r="B47" s="278"/>
      <c r="C47" s="278"/>
      <c r="D47" s="279"/>
      <c r="E47" s="168"/>
      <c r="F47" s="168"/>
      <c r="G47" s="168"/>
      <c r="H47" s="168"/>
      <c r="I47" s="168"/>
      <c r="J47" s="203">
        <v>33.99</v>
      </c>
      <c r="K47" s="203">
        <f aca="true" t="shared" si="9" ref="K47:K83">J47*1.124*1.111</f>
        <v>42.445488360000006</v>
      </c>
      <c r="L47" s="203">
        <f aca="true" t="shared" si="10" ref="L47:L83">K47*1.115*1.113</f>
        <v>52.67463882731821</v>
      </c>
      <c r="M47" s="203">
        <f aca="true" t="shared" si="11" ref="M47:M83">L47*1.079*1.113</f>
        <v>63.258395982974776</v>
      </c>
      <c r="N47" s="203">
        <f aca="true" t="shared" si="12" ref="N47:N83">M47*1.06*1.114</f>
        <v>74.69804431253594</v>
      </c>
      <c r="O47" s="203">
        <v>1.12</v>
      </c>
      <c r="P47" s="202">
        <f>O47*1.063*1.105</f>
        <v>1.3155688</v>
      </c>
      <c r="Q47" s="202">
        <f>P47*1.064*1.112</f>
        <v>1.5565389059584003</v>
      </c>
      <c r="R47" s="202">
        <f>Q47*1.058*1.154</f>
        <v>1.9004281595296015</v>
      </c>
      <c r="S47" s="202">
        <f>R47*1.057*1.159</f>
        <v>2.328144222397812</v>
      </c>
      <c r="T47" s="168">
        <v>77</v>
      </c>
      <c r="U47" s="168">
        <v>75</v>
      </c>
      <c r="V47" s="168">
        <v>75</v>
      </c>
      <c r="W47" s="168">
        <v>76</v>
      </c>
      <c r="X47" s="168">
        <v>77</v>
      </c>
      <c r="Y47" s="203">
        <v>5.1</v>
      </c>
      <c r="Z47" s="203">
        <v>5.2</v>
      </c>
      <c r="AA47" s="203">
        <f aca="true" t="shared" si="13" ref="AA47:AA81">Z47*1.1</f>
        <v>5.720000000000001</v>
      </c>
      <c r="AB47" s="203">
        <f aca="true" t="shared" si="14" ref="AB47:AC49">AA47*1.1</f>
        <v>6.292000000000002</v>
      </c>
      <c r="AC47" s="203">
        <f t="shared" si="14"/>
        <v>6.9212000000000025</v>
      </c>
      <c r="AD47" s="8"/>
      <c r="AE47" s="8"/>
      <c r="AF47" s="8"/>
      <c r="AG47" s="7"/>
      <c r="AH47" s="7"/>
      <c r="AI47" s="7"/>
      <c r="AJ47" s="7"/>
    </row>
    <row r="48" spans="1:36" ht="12.75" customHeight="1">
      <c r="A48" s="277" t="s">
        <v>178</v>
      </c>
      <c r="B48" s="278"/>
      <c r="C48" s="278"/>
      <c r="D48" s="279"/>
      <c r="E48" s="168"/>
      <c r="F48" s="203"/>
      <c r="G48" s="203"/>
      <c r="H48" s="203"/>
      <c r="I48" s="205"/>
      <c r="J48" s="203">
        <v>2.29</v>
      </c>
      <c r="K48" s="203">
        <f t="shared" si="9"/>
        <v>2.8596695600000004</v>
      </c>
      <c r="L48" s="203">
        <f t="shared" si="10"/>
        <v>3.5488356256122002</v>
      </c>
      <c r="M48" s="203">
        <f t="shared" si="11"/>
        <v>4.261892521359583</v>
      </c>
      <c r="N48" s="203">
        <f t="shared" si="12"/>
        <v>5.0326131649222505</v>
      </c>
      <c r="O48" s="203">
        <v>-0.35</v>
      </c>
      <c r="P48" s="203">
        <v>-0.4</v>
      </c>
      <c r="Q48" s="203">
        <v>-0.4</v>
      </c>
      <c r="R48" s="203">
        <v>-0.4</v>
      </c>
      <c r="S48" s="203">
        <v>-0.4</v>
      </c>
      <c r="T48" s="168">
        <v>8</v>
      </c>
      <c r="U48" s="168">
        <v>8</v>
      </c>
      <c r="V48" s="168">
        <v>8</v>
      </c>
      <c r="W48" s="168">
        <v>8</v>
      </c>
      <c r="X48" s="168">
        <v>8</v>
      </c>
      <c r="Y48" s="203">
        <v>0.414</v>
      </c>
      <c r="Z48" s="203">
        <v>0.42</v>
      </c>
      <c r="AA48" s="203">
        <f t="shared" si="13"/>
        <v>0.462</v>
      </c>
      <c r="AB48" s="203">
        <f t="shared" si="14"/>
        <v>0.5082000000000001</v>
      </c>
      <c r="AC48" s="203">
        <f t="shared" si="14"/>
        <v>0.5590200000000002</v>
      </c>
      <c r="AD48" s="8"/>
      <c r="AE48" s="8"/>
      <c r="AF48" s="8"/>
      <c r="AG48" s="7"/>
      <c r="AH48" s="7"/>
      <c r="AI48" s="7"/>
      <c r="AJ48" s="7"/>
    </row>
    <row r="49" spans="1:36" ht="12.75" customHeight="1">
      <c r="A49" s="345" t="s">
        <v>180</v>
      </c>
      <c r="B49" s="370"/>
      <c r="C49" s="370"/>
      <c r="D49" s="371"/>
      <c r="E49" s="168"/>
      <c r="F49" s="203"/>
      <c r="G49" s="203"/>
      <c r="H49" s="203"/>
      <c r="I49" s="205"/>
      <c r="J49" s="168">
        <v>2.043</v>
      </c>
      <c r="K49" s="203">
        <f t="shared" si="9"/>
        <v>2.5512248520000007</v>
      </c>
      <c r="L49" s="203">
        <f t="shared" si="10"/>
        <v>3.166057285207741</v>
      </c>
      <c r="M49" s="203">
        <f t="shared" si="11"/>
        <v>3.802203677352676</v>
      </c>
      <c r="N49" s="203">
        <f t="shared" si="12"/>
        <v>4.489794190365134</v>
      </c>
      <c r="O49" s="168">
        <v>0.074</v>
      </c>
      <c r="P49" s="203">
        <v>0.12</v>
      </c>
      <c r="Q49" s="203">
        <v>0.12</v>
      </c>
      <c r="R49" s="203">
        <v>0.12</v>
      </c>
      <c r="S49" s="203">
        <v>0.12</v>
      </c>
      <c r="T49" s="168">
        <v>2</v>
      </c>
      <c r="U49" s="168">
        <v>2</v>
      </c>
      <c r="V49" s="168">
        <v>2</v>
      </c>
      <c r="W49" s="168">
        <v>2</v>
      </c>
      <c r="X49" s="168">
        <v>2</v>
      </c>
      <c r="Y49" s="203">
        <v>0.0962</v>
      </c>
      <c r="Z49" s="203">
        <v>0.108</v>
      </c>
      <c r="AA49" s="203">
        <f t="shared" si="13"/>
        <v>0.1188</v>
      </c>
      <c r="AB49" s="203">
        <f t="shared" si="14"/>
        <v>0.13068000000000002</v>
      </c>
      <c r="AC49" s="203">
        <f t="shared" si="14"/>
        <v>0.14374800000000004</v>
      </c>
      <c r="AD49" s="8"/>
      <c r="AE49" s="8"/>
      <c r="AF49" s="8"/>
      <c r="AG49" s="7"/>
      <c r="AH49" s="7"/>
      <c r="AI49" s="7"/>
      <c r="AJ49" s="7"/>
    </row>
    <row r="50" spans="1:36" ht="12.75" customHeight="1">
      <c r="A50" s="372" t="s">
        <v>229</v>
      </c>
      <c r="B50" s="373"/>
      <c r="C50" s="373"/>
      <c r="D50" s="374"/>
      <c r="E50" s="168"/>
      <c r="F50" s="203"/>
      <c r="G50" s="203"/>
      <c r="H50" s="203"/>
      <c r="I50" s="205"/>
      <c r="J50" s="168">
        <v>0.93</v>
      </c>
      <c r="K50" s="203">
        <f t="shared" si="9"/>
        <v>1.1613505200000003</v>
      </c>
      <c r="L50" s="203">
        <f t="shared" si="10"/>
        <v>1.4412301885674002</v>
      </c>
      <c r="M50" s="203">
        <f t="shared" si="11"/>
        <v>1.7308122466656821</v>
      </c>
      <c r="N50" s="203">
        <f t="shared" si="12"/>
        <v>2.0438123333527045</v>
      </c>
      <c r="O50" s="168">
        <v>0.16</v>
      </c>
      <c r="P50" s="202">
        <f aca="true" t="shared" si="15" ref="P50:P83">O50*1.063*1.105</f>
        <v>0.18793839999999998</v>
      </c>
      <c r="Q50" s="202">
        <f aca="true" t="shared" si="16" ref="Q50:Q83">P50*1.064*1.112</f>
        <v>0.2223627008512</v>
      </c>
      <c r="R50" s="202">
        <f aca="true" t="shared" si="17" ref="R50:R83">Q50*1.058*1.154</f>
        <v>0.2714897370756573</v>
      </c>
      <c r="S50" s="202">
        <f aca="true" t="shared" si="18" ref="S50:S83">R50*1.057*1.159</f>
        <v>0.33259203177111596</v>
      </c>
      <c r="T50" s="168">
        <v>2</v>
      </c>
      <c r="U50" s="168">
        <v>2</v>
      </c>
      <c r="V50" s="168">
        <v>2</v>
      </c>
      <c r="W50" s="168">
        <v>2</v>
      </c>
      <c r="X50" s="168">
        <v>2</v>
      </c>
      <c r="Y50" s="203">
        <v>0.05</v>
      </c>
      <c r="Z50" s="203">
        <v>0.05</v>
      </c>
      <c r="AA50" s="203">
        <f t="shared" si="13"/>
        <v>0.05500000000000001</v>
      </c>
      <c r="AB50" s="203">
        <f aca="true" t="shared" si="19" ref="AB50:AC81">AA50*1.1</f>
        <v>0.06050000000000001</v>
      </c>
      <c r="AC50" s="203">
        <f t="shared" si="19"/>
        <v>0.06655000000000001</v>
      </c>
      <c r="AD50" s="8"/>
      <c r="AE50" s="8"/>
      <c r="AF50" s="8"/>
      <c r="AG50" s="7"/>
      <c r="AH50" s="7"/>
      <c r="AI50" s="7"/>
      <c r="AJ50" s="7"/>
    </row>
    <row r="51" spans="1:36" ht="12.75" customHeight="1">
      <c r="A51" s="372" t="s">
        <v>230</v>
      </c>
      <c r="B51" s="373"/>
      <c r="C51" s="373"/>
      <c r="D51" s="374"/>
      <c r="E51" s="168"/>
      <c r="F51" s="203"/>
      <c r="G51" s="203"/>
      <c r="H51" s="203"/>
      <c r="I51" s="205"/>
      <c r="J51" s="168">
        <v>2.65</v>
      </c>
      <c r="K51" s="203">
        <f t="shared" si="9"/>
        <v>3.3092246000000003</v>
      </c>
      <c r="L51" s="203">
        <f t="shared" si="10"/>
        <v>4.1067311824770005</v>
      </c>
      <c r="M51" s="203">
        <f t="shared" si="11"/>
        <v>4.931884358778557</v>
      </c>
      <c r="N51" s="203">
        <f t="shared" si="12"/>
        <v>5.823766326220073</v>
      </c>
      <c r="O51" s="168">
        <v>0.15</v>
      </c>
      <c r="P51" s="202">
        <f t="shared" si="15"/>
        <v>0.17619224999999997</v>
      </c>
      <c r="Q51" s="202">
        <f t="shared" si="16"/>
        <v>0.208465032048</v>
      </c>
      <c r="R51" s="202">
        <f t="shared" si="17"/>
        <v>0.25452162850842874</v>
      </c>
      <c r="S51" s="202">
        <f t="shared" si="18"/>
        <v>0.31180502978542124</v>
      </c>
      <c r="T51" s="168">
        <v>2</v>
      </c>
      <c r="U51" s="168">
        <v>2</v>
      </c>
      <c r="V51" s="168">
        <v>2</v>
      </c>
      <c r="W51" s="168">
        <v>2</v>
      </c>
      <c r="X51" s="168">
        <v>2</v>
      </c>
      <c r="Y51" s="203">
        <v>0.06</v>
      </c>
      <c r="Z51" s="203">
        <v>0.06</v>
      </c>
      <c r="AA51" s="203">
        <f t="shared" si="13"/>
        <v>0.066</v>
      </c>
      <c r="AB51" s="203">
        <f t="shared" si="19"/>
        <v>0.07260000000000001</v>
      </c>
      <c r="AC51" s="203">
        <f t="shared" si="19"/>
        <v>0.07986000000000001</v>
      </c>
      <c r="AD51" s="8"/>
      <c r="AE51" s="8"/>
      <c r="AF51" s="8"/>
      <c r="AG51" s="7"/>
      <c r="AH51" s="7"/>
      <c r="AI51" s="7"/>
      <c r="AJ51" s="7"/>
    </row>
    <row r="52" spans="1:36" ht="12.75" customHeight="1">
      <c r="A52" s="372" t="s">
        <v>231</v>
      </c>
      <c r="B52" s="373"/>
      <c r="C52" s="373"/>
      <c r="D52" s="374"/>
      <c r="E52" s="168"/>
      <c r="F52" s="203"/>
      <c r="G52" s="203"/>
      <c r="H52" s="203"/>
      <c r="I52" s="205"/>
      <c r="J52" s="168">
        <v>6.52</v>
      </c>
      <c r="K52" s="203">
        <f t="shared" si="9"/>
        <v>8.14194128</v>
      </c>
      <c r="L52" s="203">
        <f t="shared" si="10"/>
        <v>10.1041084187736</v>
      </c>
      <c r="M52" s="203">
        <f t="shared" si="11"/>
        <v>12.134296611032523</v>
      </c>
      <c r="N52" s="203">
        <f t="shared" si="12"/>
        <v>14.328662810171647</v>
      </c>
      <c r="O52" s="168">
        <v>0.05</v>
      </c>
      <c r="P52" s="202">
        <f t="shared" si="15"/>
        <v>0.058730750000000005</v>
      </c>
      <c r="Q52" s="202">
        <f t="shared" si="16"/>
        <v>0.06948834401600001</v>
      </c>
      <c r="R52" s="202">
        <f t="shared" si="17"/>
        <v>0.08484054283614292</v>
      </c>
      <c r="S52" s="202">
        <f t="shared" si="18"/>
        <v>0.10393500992847375</v>
      </c>
      <c r="T52" s="168">
        <v>7</v>
      </c>
      <c r="U52" s="168">
        <v>7</v>
      </c>
      <c r="V52" s="168">
        <v>7</v>
      </c>
      <c r="W52" s="168">
        <v>7</v>
      </c>
      <c r="X52" s="168">
        <v>7</v>
      </c>
      <c r="Y52" s="203">
        <v>0.16</v>
      </c>
      <c r="Z52" s="203">
        <v>0.16</v>
      </c>
      <c r="AA52" s="203">
        <f t="shared" si="13"/>
        <v>0.17600000000000002</v>
      </c>
      <c r="AB52" s="203">
        <f t="shared" si="19"/>
        <v>0.19360000000000002</v>
      </c>
      <c r="AC52" s="203">
        <f t="shared" si="19"/>
        <v>0.21296000000000004</v>
      </c>
      <c r="AD52" s="8"/>
      <c r="AE52" s="8"/>
      <c r="AF52" s="8"/>
      <c r="AG52" s="7"/>
      <c r="AH52" s="7"/>
      <c r="AI52" s="7"/>
      <c r="AJ52" s="7"/>
    </row>
    <row r="53" spans="1:36" ht="12.75" customHeight="1">
      <c r="A53" s="372" t="s">
        <v>232</v>
      </c>
      <c r="B53" s="373"/>
      <c r="C53" s="373"/>
      <c r="D53" s="374"/>
      <c r="E53" s="168"/>
      <c r="F53" s="203"/>
      <c r="G53" s="203"/>
      <c r="H53" s="203"/>
      <c r="I53" s="205"/>
      <c r="J53" s="168">
        <v>1.43</v>
      </c>
      <c r="K53" s="203">
        <f t="shared" si="9"/>
        <v>1.78573252</v>
      </c>
      <c r="L53" s="203">
        <f t="shared" si="10"/>
        <v>2.2160851286574</v>
      </c>
      <c r="M53" s="203">
        <f t="shared" si="11"/>
        <v>2.6613564653031454</v>
      </c>
      <c r="N53" s="203">
        <f t="shared" si="12"/>
        <v>3.142636168488566</v>
      </c>
      <c r="O53" s="168">
        <v>0.14</v>
      </c>
      <c r="P53" s="202">
        <f t="shared" si="15"/>
        <v>0.1644461</v>
      </c>
      <c r="Q53" s="202">
        <f t="shared" si="16"/>
        <v>0.19456736324480003</v>
      </c>
      <c r="R53" s="202">
        <f t="shared" si="17"/>
        <v>0.2375535199412002</v>
      </c>
      <c r="S53" s="202">
        <f t="shared" si="18"/>
        <v>0.2910180277997265</v>
      </c>
      <c r="T53" s="168">
        <v>2</v>
      </c>
      <c r="U53" s="168">
        <v>2</v>
      </c>
      <c r="V53" s="168">
        <v>2</v>
      </c>
      <c r="W53" s="168">
        <v>2</v>
      </c>
      <c r="X53" s="168">
        <v>2</v>
      </c>
      <c r="Y53" s="203">
        <v>0.47</v>
      </c>
      <c r="Z53" s="203">
        <v>0.47</v>
      </c>
      <c r="AA53" s="203">
        <f t="shared" si="13"/>
        <v>0.517</v>
      </c>
      <c r="AB53" s="203">
        <f t="shared" si="19"/>
        <v>0.5687000000000001</v>
      </c>
      <c r="AC53" s="203">
        <f t="shared" si="19"/>
        <v>0.6255700000000002</v>
      </c>
      <c r="AD53" s="8"/>
      <c r="AE53" s="8"/>
      <c r="AF53" s="8"/>
      <c r="AG53" s="7"/>
      <c r="AH53" s="7"/>
      <c r="AI53" s="7"/>
      <c r="AJ53" s="7"/>
    </row>
    <row r="54" spans="1:36" ht="12.75" customHeight="1">
      <c r="A54" s="372" t="s">
        <v>233</v>
      </c>
      <c r="B54" s="373"/>
      <c r="C54" s="373"/>
      <c r="D54" s="374"/>
      <c r="E54" s="168"/>
      <c r="F54" s="203"/>
      <c r="G54" s="203"/>
      <c r="H54" s="203"/>
      <c r="I54" s="205"/>
      <c r="J54" s="168">
        <v>0.49</v>
      </c>
      <c r="K54" s="203">
        <f t="shared" si="9"/>
        <v>0.61189436</v>
      </c>
      <c r="L54" s="203">
        <f t="shared" si="10"/>
        <v>0.7593578412881999</v>
      </c>
      <c r="M54" s="203">
        <f t="shared" si="11"/>
        <v>0.911933334264714</v>
      </c>
      <c r="N54" s="203">
        <f t="shared" si="12"/>
        <v>1.076847358433145</v>
      </c>
      <c r="O54" s="168">
        <v>0.11</v>
      </c>
      <c r="P54" s="202">
        <f t="shared" si="15"/>
        <v>0.12920764999999998</v>
      </c>
      <c r="Q54" s="202">
        <f t="shared" si="16"/>
        <v>0.1528743568352</v>
      </c>
      <c r="R54" s="202">
        <f t="shared" si="17"/>
        <v>0.1866491942395144</v>
      </c>
      <c r="S54" s="202">
        <f t="shared" si="18"/>
        <v>0.22865702184264222</v>
      </c>
      <c r="T54" s="168">
        <v>1</v>
      </c>
      <c r="U54" s="168">
        <v>1</v>
      </c>
      <c r="V54" s="168">
        <v>1</v>
      </c>
      <c r="W54" s="168">
        <v>1</v>
      </c>
      <c r="X54" s="168">
        <v>1</v>
      </c>
      <c r="Y54" s="203">
        <v>0.02</v>
      </c>
      <c r="Z54" s="203">
        <v>0.02</v>
      </c>
      <c r="AA54" s="203">
        <f t="shared" si="13"/>
        <v>0.022000000000000002</v>
      </c>
      <c r="AB54" s="203">
        <f t="shared" si="19"/>
        <v>0.024200000000000003</v>
      </c>
      <c r="AC54" s="203">
        <f t="shared" si="19"/>
        <v>0.026620000000000005</v>
      </c>
      <c r="AD54" s="8"/>
      <c r="AE54" s="8"/>
      <c r="AF54" s="8"/>
      <c r="AG54" s="7"/>
      <c r="AH54" s="7"/>
      <c r="AI54" s="7"/>
      <c r="AJ54" s="7"/>
    </row>
    <row r="55" spans="1:36" ht="12.75" customHeight="1">
      <c r="A55" s="372" t="s">
        <v>234</v>
      </c>
      <c r="B55" s="373"/>
      <c r="C55" s="373"/>
      <c r="D55" s="374"/>
      <c r="E55" s="168"/>
      <c r="F55" s="203"/>
      <c r="G55" s="203"/>
      <c r="H55" s="203"/>
      <c r="I55" s="205"/>
      <c r="J55" s="168">
        <v>0.49</v>
      </c>
      <c r="K55" s="203">
        <f t="shared" si="9"/>
        <v>0.61189436</v>
      </c>
      <c r="L55" s="203">
        <f t="shared" si="10"/>
        <v>0.7593578412881999</v>
      </c>
      <c r="M55" s="203">
        <f t="shared" si="11"/>
        <v>0.911933334264714</v>
      </c>
      <c r="N55" s="203">
        <f t="shared" si="12"/>
        <v>1.076847358433145</v>
      </c>
      <c r="O55" s="168">
        <v>0.04</v>
      </c>
      <c r="P55" s="202">
        <f t="shared" si="15"/>
        <v>0.046984599999999994</v>
      </c>
      <c r="Q55" s="202">
        <f t="shared" si="16"/>
        <v>0.0555906752128</v>
      </c>
      <c r="R55" s="202">
        <f t="shared" si="17"/>
        <v>0.06787243426891433</v>
      </c>
      <c r="S55" s="202">
        <f t="shared" si="18"/>
        <v>0.08314800794277899</v>
      </c>
      <c r="T55" s="168">
        <v>2</v>
      </c>
      <c r="U55" s="168">
        <v>2</v>
      </c>
      <c r="V55" s="168">
        <v>2</v>
      </c>
      <c r="W55" s="168">
        <v>2</v>
      </c>
      <c r="X55" s="168">
        <v>2</v>
      </c>
      <c r="Y55" s="203">
        <v>0.26</v>
      </c>
      <c r="Z55" s="203">
        <v>0.26</v>
      </c>
      <c r="AA55" s="203">
        <f t="shared" si="13"/>
        <v>0.28600000000000003</v>
      </c>
      <c r="AB55" s="203">
        <f t="shared" si="19"/>
        <v>0.31460000000000005</v>
      </c>
      <c r="AC55" s="203">
        <f t="shared" si="19"/>
        <v>0.3460600000000001</v>
      </c>
      <c r="AD55" s="8"/>
      <c r="AE55" s="8"/>
      <c r="AF55" s="8"/>
      <c r="AG55" s="7"/>
      <c r="AH55" s="7"/>
      <c r="AI55" s="7"/>
      <c r="AJ55" s="7"/>
    </row>
    <row r="56" spans="1:36" ht="12.75" customHeight="1">
      <c r="A56" s="372" t="s">
        <v>235</v>
      </c>
      <c r="B56" s="373"/>
      <c r="C56" s="373"/>
      <c r="D56" s="374"/>
      <c r="E56" s="168"/>
      <c r="F56" s="203"/>
      <c r="G56" s="203"/>
      <c r="H56" s="203"/>
      <c r="I56" s="205"/>
      <c r="J56" s="168">
        <v>0.69</v>
      </c>
      <c r="K56" s="203">
        <f t="shared" si="9"/>
        <v>0.86164716</v>
      </c>
      <c r="L56" s="203">
        <f t="shared" si="10"/>
        <v>1.0692998173242</v>
      </c>
      <c r="M56" s="203">
        <f t="shared" si="11"/>
        <v>1.2841510217196996</v>
      </c>
      <c r="N56" s="203">
        <f t="shared" si="12"/>
        <v>1.5163768924874903</v>
      </c>
      <c r="O56" s="168">
        <v>0.01</v>
      </c>
      <c r="P56" s="202">
        <f t="shared" si="15"/>
        <v>0.011746149999999999</v>
      </c>
      <c r="Q56" s="202">
        <f t="shared" si="16"/>
        <v>0.0138976688032</v>
      </c>
      <c r="R56" s="202">
        <f t="shared" si="17"/>
        <v>0.016968108567228583</v>
      </c>
      <c r="S56" s="202">
        <f t="shared" si="18"/>
        <v>0.020787001985694747</v>
      </c>
      <c r="T56" s="168">
        <v>4</v>
      </c>
      <c r="U56" s="168">
        <v>4</v>
      </c>
      <c r="V56" s="168">
        <v>4</v>
      </c>
      <c r="W56" s="168">
        <v>5</v>
      </c>
      <c r="X56" s="168">
        <v>5</v>
      </c>
      <c r="Y56" s="203">
        <v>0.39</v>
      </c>
      <c r="Z56" s="203">
        <v>0.39</v>
      </c>
      <c r="AA56" s="203">
        <f t="shared" si="13"/>
        <v>0.42900000000000005</v>
      </c>
      <c r="AB56" s="203">
        <f t="shared" si="19"/>
        <v>0.4719000000000001</v>
      </c>
      <c r="AC56" s="203">
        <f t="shared" si="19"/>
        <v>0.5190900000000002</v>
      </c>
      <c r="AD56" s="8"/>
      <c r="AE56" s="8"/>
      <c r="AF56" s="8"/>
      <c r="AG56" s="7"/>
      <c r="AH56" s="7"/>
      <c r="AI56" s="7"/>
      <c r="AJ56" s="7"/>
    </row>
    <row r="57" spans="1:36" ht="12.75" customHeight="1">
      <c r="A57" s="372" t="s">
        <v>236</v>
      </c>
      <c r="B57" s="373"/>
      <c r="C57" s="373"/>
      <c r="D57" s="374"/>
      <c r="E57" s="168"/>
      <c r="F57" s="203"/>
      <c r="G57" s="203"/>
      <c r="H57" s="203"/>
      <c r="I57" s="205"/>
      <c r="J57" s="168">
        <v>5.54</v>
      </c>
      <c r="K57" s="203">
        <f t="shared" si="9"/>
        <v>6.918152560000001</v>
      </c>
      <c r="L57" s="203">
        <f t="shared" si="10"/>
        <v>8.585392736197202</v>
      </c>
      <c r="M57" s="203">
        <f t="shared" si="11"/>
        <v>10.310429942503097</v>
      </c>
      <c r="N57" s="203">
        <f t="shared" si="12"/>
        <v>12.174968093305358</v>
      </c>
      <c r="O57" s="168">
        <v>0.5</v>
      </c>
      <c r="P57" s="202">
        <f t="shared" si="15"/>
        <v>0.5873075</v>
      </c>
      <c r="Q57" s="202">
        <f t="shared" si="16"/>
        <v>0.69488344016</v>
      </c>
      <c r="R57" s="202">
        <f t="shared" si="17"/>
        <v>0.8484054283614292</v>
      </c>
      <c r="S57" s="202">
        <f t="shared" si="18"/>
        <v>1.0393500992847375</v>
      </c>
      <c r="T57" s="168">
        <v>16</v>
      </c>
      <c r="U57" s="168">
        <v>20</v>
      </c>
      <c r="V57" s="168">
        <v>20</v>
      </c>
      <c r="W57" s="168">
        <v>20</v>
      </c>
      <c r="X57" s="168">
        <v>20</v>
      </c>
      <c r="Y57" s="203">
        <v>0.54</v>
      </c>
      <c r="Z57" s="203">
        <v>0.68</v>
      </c>
      <c r="AA57" s="203">
        <f t="shared" si="13"/>
        <v>0.7480000000000001</v>
      </c>
      <c r="AB57" s="203">
        <f t="shared" si="19"/>
        <v>0.8228000000000002</v>
      </c>
      <c r="AC57" s="203">
        <f t="shared" si="19"/>
        <v>0.9050800000000003</v>
      </c>
      <c r="AD57" s="8"/>
      <c r="AE57" s="8"/>
      <c r="AF57" s="8"/>
      <c r="AG57" s="7"/>
      <c r="AH57" s="7"/>
      <c r="AI57" s="7"/>
      <c r="AJ57" s="7"/>
    </row>
    <row r="58" spans="1:36" ht="12.75" customHeight="1">
      <c r="A58" s="372" t="s">
        <v>237</v>
      </c>
      <c r="B58" s="373"/>
      <c r="C58" s="373"/>
      <c r="D58" s="374"/>
      <c r="E58" s="168"/>
      <c r="F58" s="203"/>
      <c r="G58" s="203"/>
      <c r="H58" s="203"/>
      <c r="I58" s="205"/>
      <c r="J58" s="168">
        <v>0.33</v>
      </c>
      <c r="K58" s="203">
        <f t="shared" si="9"/>
        <v>0.41209212</v>
      </c>
      <c r="L58" s="203">
        <f t="shared" si="10"/>
        <v>0.5114042604594</v>
      </c>
      <c r="M58" s="203">
        <f t="shared" si="11"/>
        <v>0.6141591843007259</v>
      </c>
      <c r="N58" s="203">
        <f t="shared" si="12"/>
        <v>0.7252237311896692</v>
      </c>
      <c r="O58" s="168">
        <v>0.02</v>
      </c>
      <c r="P58" s="202">
        <f t="shared" si="15"/>
        <v>0.023492299999999997</v>
      </c>
      <c r="Q58" s="202">
        <f t="shared" si="16"/>
        <v>0.0277953376064</v>
      </c>
      <c r="R58" s="202">
        <f t="shared" si="17"/>
        <v>0.033936217134457165</v>
      </c>
      <c r="S58" s="202">
        <f t="shared" si="18"/>
        <v>0.041574003971389495</v>
      </c>
      <c r="T58" s="168">
        <v>1</v>
      </c>
      <c r="U58" s="168">
        <v>1</v>
      </c>
      <c r="V58" s="168">
        <v>1</v>
      </c>
      <c r="W58" s="168">
        <v>1</v>
      </c>
      <c r="X58" s="168">
        <v>1</v>
      </c>
      <c r="Y58" s="203">
        <v>0.02</v>
      </c>
      <c r="Z58" s="203">
        <v>0.02</v>
      </c>
      <c r="AA58" s="203">
        <f t="shared" si="13"/>
        <v>0.022000000000000002</v>
      </c>
      <c r="AB58" s="203">
        <f t="shared" si="19"/>
        <v>0.024200000000000003</v>
      </c>
      <c r="AC58" s="203">
        <f t="shared" si="19"/>
        <v>0.026620000000000005</v>
      </c>
      <c r="AD58" s="8"/>
      <c r="AE58" s="8"/>
      <c r="AF58" s="8"/>
      <c r="AG58" s="7"/>
      <c r="AH58" s="7"/>
      <c r="AI58" s="7"/>
      <c r="AJ58" s="7"/>
    </row>
    <row r="59" spans="1:36" ht="12.75" customHeight="1">
      <c r="A59" s="372" t="s">
        <v>238</v>
      </c>
      <c r="B59" s="373"/>
      <c r="C59" s="373"/>
      <c r="D59" s="374"/>
      <c r="E59" s="168"/>
      <c r="F59" s="203"/>
      <c r="G59" s="203"/>
      <c r="H59" s="203"/>
      <c r="I59" s="205"/>
      <c r="J59" s="168">
        <v>0.33</v>
      </c>
      <c r="K59" s="203">
        <f t="shared" si="9"/>
        <v>0.41209212</v>
      </c>
      <c r="L59" s="203">
        <f t="shared" si="10"/>
        <v>0.5114042604594</v>
      </c>
      <c r="M59" s="203">
        <f t="shared" si="11"/>
        <v>0.6141591843007259</v>
      </c>
      <c r="N59" s="203">
        <f t="shared" si="12"/>
        <v>0.7252237311896692</v>
      </c>
      <c r="O59" s="168">
        <v>0.05</v>
      </c>
      <c r="P59" s="202">
        <f t="shared" si="15"/>
        <v>0.058730750000000005</v>
      </c>
      <c r="Q59" s="202">
        <f t="shared" si="16"/>
        <v>0.06948834401600001</v>
      </c>
      <c r="R59" s="202">
        <f t="shared" si="17"/>
        <v>0.08484054283614292</v>
      </c>
      <c r="S59" s="202">
        <f t="shared" si="18"/>
        <v>0.10393500992847375</v>
      </c>
      <c r="T59" s="168">
        <v>1</v>
      </c>
      <c r="U59" s="168">
        <v>1</v>
      </c>
      <c r="V59" s="168">
        <v>2</v>
      </c>
      <c r="W59" s="168">
        <v>2</v>
      </c>
      <c r="X59" s="168">
        <v>2</v>
      </c>
      <c r="Y59" s="203">
        <v>0.02</v>
      </c>
      <c r="Z59" s="203">
        <v>0.02</v>
      </c>
      <c r="AA59" s="203">
        <f t="shared" si="13"/>
        <v>0.022000000000000002</v>
      </c>
      <c r="AB59" s="203">
        <f t="shared" si="19"/>
        <v>0.024200000000000003</v>
      </c>
      <c r="AC59" s="203">
        <f t="shared" si="19"/>
        <v>0.026620000000000005</v>
      </c>
      <c r="AD59" s="8"/>
      <c r="AE59" s="8"/>
      <c r="AF59" s="8"/>
      <c r="AG59" s="7"/>
      <c r="AH59" s="7"/>
      <c r="AI59" s="7"/>
      <c r="AJ59" s="7"/>
    </row>
    <row r="60" spans="1:36" ht="12.75" customHeight="1">
      <c r="A60" s="372" t="s">
        <v>239</v>
      </c>
      <c r="B60" s="373"/>
      <c r="C60" s="373"/>
      <c r="D60" s="374"/>
      <c r="E60" s="168"/>
      <c r="F60" s="203"/>
      <c r="G60" s="203"/>
      <c r="H60" s="203"/>
      <c r="I60" s="205"/>
      <c r="J60" s="168">
        <v>1.23</v>
      </c>
      <c r="K60" s="203">
        <f t="shared" si="9"/>
        <v>1.5359797200000003</v>
      </c>
      <c r="L60" s="203">
        <f t="shared" si="10"/>
        <v>1.9061431526214003</v>
      </c>
      <c r="M60" s="203">
        <f t="shared" si="11"/>
        <v>2.28913877784816</v>
      </c>
      <c r="N60" s="203">
        <f t="shared" si="12"/>
        <v>2.7031066344342216</v>
      </c>
      <c r="O60" s="168">
        <v>0.07</v>
      </c>
      <c r="P60" s="202">
        <f t="shared" si="15"/>
        <v>0.08222305</v>
      </c>
      <c r="Q60" s="202">
        <f t="shared" si="16"/>
        <v>0.09728368162240002</v>
      </c>
      <c r="R60" s="202">
        <f t="shared" si="17"/>
        <v>0.1187767599706001</v>
      </c>
      <c r="S60" s="202">
        <f t="shared" si="18"/>
        <v>0.14550901389986326</v>
      </c>
      <c r="T60" s="168">
        <v>1</v>
      </c>
      <c r="U60" s="168">
        <v>1</v>
      </c>
      <c r="V60" s="168">
        <v>1</v>
      </c>
      <c r="W60" s="168">
        <v>1</v>
      </c>
      <c r="X60" s="168">
        <v>1</v>
      </c>
      <c r="Y60" s="203">
        <v>0.04</v>
      </c>
      <c r="Z60" s="203">
        <v>0.04</v>
      </c>
      <c r="AA60" s="203">
        <f t="shared" si="13"/>
        <v>0.044000000000000004</v>
      </c>
      <c r="AB60" s="203">
        <f t="shared" si="19"/>
        <v>0.048400000000000006</v>
      </c>
      <c r="AC60" s="203">
        <f t="shared" si="19"/>
        <v>0.05324000000000001</v>
      </c>
      <c r="AD60" s="8"/>
      <c r="AE60" s="8"/>
      <c r="AF60" s="8"/>
      <c r="AG60" s="7"/>
      <c r="AH60" s="7"/>
      <c r="AI60" s="7"/>
      <c r="AJ60" s="7"/>
    </row>
    <row r="61" spans="1:36" ht="12.75" customHeight="1">
      <c r="A61" s="372" t="s">
        <v>240</v>
      </c>
      <c r="B61" s="373"/>
      <c r="C61" s="373"/>
      <c r="D61" s="374"/>
      <c r="E61" s="168"/>
      <c r="F61" s="203"/>
      <c r="G61" s="203"/>
      <c r="H61" s="203"/>
      <c r="I61" s="205"/>
      <c r="J61" s="168">
        <v>1.35</v>
      </c>
      <c r="K61" s="203">
        <f t="shared" si="9"/>
        <v>1.6858314000000003</v>
      </c>
      <c r="L61" s="203">
        <f t="shared" si="10"/>
        <v>2.0921083382430004</v>
      </c>
      <c r="M61" s="203">
        <f t="shared" si="11"/>
        <v>2.5124693903211512</v>
      </c>
      <c r="N61" s="203">
        <f t="shared" si="12"/>
        <v>2.9668243548668287</v>
      </c>
      <c r="O61" s="168">
        <v>0.12</v>
      </c>
      <c r="P61" s="202">
        <f t="shared" si="15"/>
        <v>0.14095379999999996</v>
      </c>
      <c r="Q61" s="202">
        <f t="shared" si="16"/>
        <v>0.16677202563839996</v>
      </c>
      <c r="R61" s="202">
        <f t="shared" si="17"/>
        <v>0.20361730280674295</v>
      </c>
      <c r="S61" s="202">
        <f t="shared" si="18"/>
        <v>0.2494440238283369</v>
      </c>
      <c r="T61" s="168">
        <v>2</v>
      </c>
      <c r="U61" s="168">
        <v>2</v>
      </c>
      <c r="V61" s="168">
        <v>2</v>
      </c>
      <c r="W61" s="168">
        <v>2</v>
      </c>
      <c r="X61" s="168">
        <v>2</v>
      </c>
      <c r="Y61" s="203">
        <v>0.07</v>
      </c>
      <c r="Z61" s="203">
        <v>0.07</v>
      </c>
      <c r="AA61" s="203">
        <f t="shared" si="13"/>
        <v>0.07700000000000001</v>
      </c>
      <c r="AB61" s="203">
        <f t="shared" si="19"/>
        <v>0.08470000000000003</v>
      </c>
      <c r="AC61" s="203">
        <f t="shared" si="19"/>
        <v>0.09317000000000003</v>
      </c>
      <c r="AD61" s="8"/>
      <c r="AE61" s="8"/>
      <c r="AF61" s="8"/>
      <c r="AG61" s="7"/>
      <c r="AH61" s="7"/>
      <c r="AI61" s="7"/>
      <c r="AJ61" s="7"/>
    </row>
    <row r="62" spans="1:36" ht="12.75" customHeight="1">
      <c r="A62" s="372" t="s">
        <v>241</v>
      </c>
      <c r="B62" s="373"/>
      <c r="C62" s="373"/>
      <c r="D62" s="374"/>
      <c r="E62" s="168"/>
      <c r="F62" s="203"/>
      <c r="G62" s="203"/>
      <c r="H62" s="203"/>
      <c r="I62" s="205"/>
      <c r="J62" s="168">
        <v>0.92</v>
      </c>
      <c r="K62" s="203">
        <f t="shared" si="9"/>
        <v>1.14886288</v>
      </c>
      <c r="L62" s="203">
        <f t="shared" si="10"/>
        <v>1.4257330897656</v>
      </c>
      <c r="M62" s="203">
        <f t="shared" si="11"/>
        <v>1.7122013622929326</v>
      </c>
      <c r="N62" s="203">
        <f t="shared" si="12"/>
        <v>2.0218358566499868</v>
      </c>
      <c r="O62" s="168">
        <v>0.05</v>
      </c>
      <c r="P62" s="202">
        <f t="shared" si="15"/>
        <v>0.058730750000000005</v>
      </c>
      <c r="Q62" s="202">
        <f t="shared" si="16"/>
        <v>0.06948834401600001</v>
      </c>
      <c r="R62" s="202">
        <f t="shared" si="17"/>
        <v>0.08484054283614292</v>
      </c>
      <c r="S62" s="202">
        <f t="shared" si="18"/>
        <v>0.10393500992847375</v>
      </c>
      <c r="T62" s="168">
        <v>3</v>
      </c>
      <c r="U62" s="168">
        <v>3</v>
      </c>
      <c r="V62" s="168">
        <v>3</v>
      </c>
      <c r="W62" s="168">
        <v>3</v>
      </c>
      <c r="X62" s="168">
        <v>3</v>
      </c>
      <c r="Y62" s="203">
        <v>0.1</v>
      </c>
      <c r="Z62" s="203">
        <v>0.1</v>
      </c>
      <c r="AA62" s="203">
        <f t="shared" si="13"/>
        <v>0.11000000000000001</v>
      </c>
      <c r="AB62" s="203">
        <f t="shared" si="19"/>
        <v>0.12100000000000002</v>
      </c>
      <c r="AC62" s="203">
        <f t="shared" si="19"/>
        <v>0.13310000000000002</v>
      </c>
      <c r="AD62" s="8"/>
      <c r="AE62" s="8"/>
      <c r="AF62" s="8"/>
      <c r="AG62" s="7"/>
      <c r="AH62" s="7"/>
      <c r="AI62" s="7"/>
      <c r="AJ62" s="7"/>
    </row>
    <row r="63" spans="1:36" ht="12.75" customHeight="1">
      <c r="A63" s="372" t="s">
        <v>242</v>
      </c>
      <c r="B63" s="373"/>
      <c r="C63" s="373"/>
      <c r="D63" s="374"/>
      <c r="E63" s="168"/>
      <c r="F63" s="203"/>
      <c r="G63" s="203"/>
      <c r="H63" s="203"/>
      <c r="I63" s="205"/>
      <c r="J63" s="168">
        <v>4.43</v>
      </c>
      <c r="K63" s="203">
        <f t="shared" si="9"/>
        <v>5.53202452</v>
      </c>
      <c r="L63" s="203">
        <f t="shared" si="10"/>
        <v>6.8652147691974</v>
      </c>
      <c r="M63" s="203">
        <f t="shared" si="11"/>
        <v>8.244621777127925</v>
      </c>
      <c r="N63" s="203">
        <f t="shared" si="12"/>
        <v>9.73557917930374</v>
      </c>
      <c r="O63" s="168">
        <v>0.68</v>
      </c>
      <c r="P63" s="202">
        <f t="shared" si="15"/>
        <v>0.7987382000000001</v>
      </c>
      <c r="Q63" s="202">
        <f t="shared" si="16"/>
        <v>0.9450414786176002</v>
      </c>
      <c r="R63" s="202">
        <f t="shared" si="17"/>
        <v>1.1538313825715438</v>
      </c>
      <c r="S63" s="202">
        <f t="shared" si="18"/>
        <v>1.4135161350272432</v>
      </c>
      <c r="T63" s="168">
        <v>6</v>
      </c>
      <c r="U63" s="168">
        <v>6</v>
      </c>
      <c r="V63" s="168">
        <v>6</v>
      </c>
      <c r="W63" s="168">
        <v>6</v>
      </c>
      <c r="X63" s="168">
        <v>6</v>
      </c>
      <c r="Y63" s="203">
        <v>0.13</v>
      </c>
      <c r="Z63" s="203">
        <v>0.13</v>
      </c>
      <c r="AA63" s="203">
        <f t="shared" si="13"/>
        <v>0.14300000000000002</v>
      </c>
      <c r="AB63" s="203">
        <f t="shared" si="19"/>
        <v>0.15730000000000002</v>
      </c>
      <c r="AC63" s="203">
        <f t="shared" si="19"/>
        <v>0.17303000000000004</v>
      </c>
      <c r="AD63" s="8"/>
      <c r="AE63" s="8"/>
      <c r="AF63" s="8"/>
      <c r="AG63" s="7"/>
      <c r="AH63" s="7"/>
      <c r="AI63" s="7"/>
      <c r="AJ63" s="7"/>
    </row>
    <row r="64" spans="1:36" ht="12.75" customHeight="1">
      <c r="A64" s="372" t="s">
        <v>243</v>
      </c>
      <c r="B64" s="373"/>
      <c r="C64" s="373"/>
      <c r="D64" s="374"/>
      <c r="E64" s="168"/>
      <c r="F64" s="203"/>
      <c r="G64" s="203"/>
      <c r="H64" s="203"/>
      <c r="I64" s="205"/>
      <c r="J64" s="168">
        <v>0.64</v>
      </c>
      <c r="K64" s="203">
        <f t="shared" si="9"/>
        <v>0.7992089600000001</v>
      </c>
      <c r="L64" s="203">
        <f t="shared" si="10"/>
        <v>0.9918143233152</v>
      </c>
      <c r="M64" s="203">
        <f t="shared" si="11"/>
        <v>1.1910965998559533</v>
      </c>
      <c r="N64" s="203">
        <f t="shared" si="12"/>
        <v>1.406494508973904</v>
      </c>
      <c r="O64" s="168">
        <v>0.06</v>
      </c>
      <c r="P64" s="202">
        <f t="shared" si="15"/>
        <v>0.07047689999999998</v>
      </c>
      <c r="Q64" s="202">
        <f t="shared" si="16"/>
        <v>0.08338601281919998</v>
      </c>
      <c r="R64" s="202">
        <f t="shared" si="17"/>
        <v>0.10180865140337148</v>
      </c>
      <c r="S64" s="202">
        <f t="shared" si="18"/>
        <v>0.12472201191416846</v>
      </c>
      <c r="T64" s="168">
        <v>2</v>
      </c>
      <c r="U64" s="168">
        <v>2</v>
      </c>
      <c r="V64" s="168">
        <v>2</v>
      </c>
      <c r="W64" s="168">
        <v>2</v>
      </c>
      <c r="X64" s="168">
        <v>2</v>
      </c>
      <c r="Y64" s="203">
        <v>0.03</v>
      </c>
      <c r="Z64" s="203">
        <v>0.03</v>
      </c>
      <c r="AA64" s="203">
        <f t="shared" si="13"/>
        <v>0.033</v>
      </c>
      <c r="AB64" s="203">
        <f t="shared" si="19"/>
        <v>0.036300000000000006</v>
      </c>
      <c r="AC64" s="203">
        <f t="shared" si="19"/>
        <v>0.03993000000000001</v>
      </c>
      <c r="AD64" s="8"/>
      <c r="AE64" s="8"/>
      <c r="AF64" s="8"/>
      <c r="AG64" s="7"/>
      <c r="AH64" s="7"/>
      <c r="AI64" s="7"/>
      <c r="AJ64" s="7"/>
    </row>
    <row r="65" spans="1:36" ht="12.75" customHeight="1">
      <c r="A65" s="372" t="s">
        <v>244</v>
      </c>
      <c r="B65" s="373"/>
      <c r="C65" s="373"/>
      <c r="D65" s="374"/>
      <c r="E65" s="168"/>
      <c r="F65" s="203"/>
      <c r="G65" s="203"/>
      <c r="H65" s="203"/>
      <c r="I65" s="205"/>
      <c r="J65" s="168">
        <v>2.03</v>
      </c>
      <c r="K65" s="203">
        <f t="shared" si="9"/>
        <v>2.53499092</v>
      </c>
      <c r="L65" s="203">
        <f t="shared" si="10"/>
        <v>3.1459110567653994</v>
      </c>
      <c r="M65" s="203">
        <f t="shared" si="11"/>
        <v>3.7780095276681007</v>
      </c>
      <c r="N65" s="203">
        <f t="shared" si="12"/>
        <v>4.4612247706516</v>
      </c>
      <c r="O65" s="168">
        <v>0.27</v>
      </c>
      <c r="P65" s="202">
        <f t="shared" si="15"/>
        <v>0.31714604999999996</v>
      </c>
      <c r="Q65" s="202">
        <f t="shared" si="16"/>
        <v>0.37523705768640003</v>
      </c>
      <c r="R65" s="202">
        <f t="shared" si="17"/>
        <v>0.45813893131517175</v>
      </c>
      <c r="S65" s="202">
        <f t="shared" si="18"/>
        <v>0.5612490536137582</v>
      </c>
      <c r="T65" s="168">
        <v>2</v>
      </c>
      <c r="U65" s="168">
        <v>2</v>
      </c>
      <c r="V65" s="168">
        <v>2</v>
      </c>
      <c r="W65" s="168">
        <v>2</v>
      </c>
      <c r="X65" s="168">
        <v>2</v>
      </c>
      <c r="Y65" s="203">
        <v>0.06</v>
      </c>
      <c r="Z65" s="203">
        <v>0.06</v>
      </c>
      <c r="AA65" s="203">
        <f t="shared" si="13"/>
        <v>0.066</v>
      </c>
      <c r="AB65" s="203">
        <f t="shared" si="19"/>
        <v>0.07260000000000001</v>
      </c>
      <c r="AC65" s="203">
        <f t="shared" si="19"/>
        <v>0.07986000000000001</v>
      </c>
      <c r="AD65" s="8"/>
      <c r="AE65" s="8"/>
      <c r="AF65" s="8"/>
      <c r="AG65" s="7"/>
      <c r="AH65" s="7"/>
      <c r="AI65" s="7"/>
      <c r="AJ65" s="7"/>
    </row>
    <row r="66" spans="1:36" ht="12.75" customHeight="1">
      <c r="A66" s="372" t="s">
        <v>245</v>
      </c>
      <c r="B66" s="373"/>
      <c r="C66" s="373"/>
      <c r="D66" s="374"/>
      <c r="E66" s="168"/>
      <c r="F66" s="203"/>
      <c r="G66" s="203"/>
      <c r="H66" s="203"/>
      <c r="I66" s="205"/>
      <c r="J66" s="168">
        <v>0.37</v>
      </c>
      <c r="K66" s="203">
        <f t="shared" si="9"/>
        <v>0.46204268000000004</v>
      </c>
      <c r="L66" s="203">
        <f t="shared" si="10"/>
        <v>0.5733926556666</v>
      </c>
      <c r="M66" s="203">
        <f t="shared" si="11"/>
        <v>0.6886027217917229</v>
      </c>
      <c r="N66" s="203">
        <f t="shared" si="12"/>
        <v>0.8131296380005382</v>
      </c>
      <c r="O66" s="168">
        <v>0.01</v>
      </c>
      <c r="P66" s="202">
        <f t="shared" si="15"/>
        <v>0.011746149999999999</v>
      </c>
      <c r="Q66" s="202">
        <f t="shared" si="16"/>
        <v>0.0138976688032</v>
      </c>
      <c r="R66" s="202">
        <f t="shared" si="17"/>
        <v>0.016968108567228583</v>
      </c>
      <c r="S66" s="202">
        <f t="shared" si="18"/>
        <v>0.020787001985694747</v>
      </c>
      <c r="T66" s="168">
        <v>1</v>
      </c>
      <c r="U66" s="168">
        <v>1</v>
      </c>
      <c r="V66" s="168">
        <v>1</v>
      </c>
      <c r="W66" s="168">
        <v>1</v>
      </c>
      <c r="X66" s="168">
        <v>1</v>
      </c>
      <c r="Y66" s="203">
        <v>0.04</v>
      </c>
      <c r="Z66" s="203">
        <v>0.04</v>
      </c>
      <c r="AA66" s="203">
        <f t="shared" si="13"/>
        <v>0.044000000000000004</v>
      </c>
      <c r="AB66" s="203">
        <f t="shared" si="19"/>
        <v>0.048400000000000006</v>
      </c>
      <c r="AC66" s="203">
        <f t="shared" si="19"/>
        <v>0.05324000000000001</v>
      </c>
      <c r="AD66" s="8"/>
      <c r="AE66" s="8"/>
      <c r="AF66" s="8"/>
      <c r="AG66" s="7"/>
      <c r="AH66" s="7"/>
      <c r="AI66" s="7"/>
      <c r="AJ66" s="7"/>
    </row>
    <row r="67" spans="1:36" ht="12.75" customHeight="1">
      <c r="A67" s="372" t="s">
        <v>246</v>
      </c>
      <c r="B67" s="373"/>
      <c r="C67" s="373"/>
      <c r="D67" s="374"/>
      <c r="E67" s="168"/>
      <c r="F67" s="203"/>
      <c r="G67" s="203"/>
      <c r="H67" s="203"/>
      <c r="I67" s="205"/>
      <c r="J67" s="168">
        <v>2.38</v>
      </c>
      <c r="K67" s="203">
        <f t="shared" si="9"/>
        <v>2.9720583200000004</v>
      </c>
      <c r="L67" s="203">
        <f t="shared" si="10"/>
        <v>3.6883095148284006</v>
      </c>
      <c r="M67" s="203">
        <f t="shared" si="11"/>
        <v>4.429390480714327</v>
      </c>
      <c r="N67" s="203">
        <f t="shared" si="12"/>
        <v>5.230401455246706</v>
      </c>
      <c r="O67" s="168">
        <v>0.22</v>
      </c>
      <c r="P67" s="202">
        <f t="shared" si="15"/>
        <v>0.25841529999999996</v>
      </c>
      <c r="Q67" s="202">
        <f t="shared" si="16"/>
        <v>0.3057487136704</v>
      </c>
      <c r="R67" s="202">
        <f t="shared" si="17"/>
        <v>0.3732983884790288</v>
      </c>
      <c r="S67" s="202">
        <f t="shared" si="18"/>
        <v>0.45731404368528444</v>
      </c>
      <c r="T67" s="168">
        <v>1</v>
      </c>
      <c r="U67" s="168">
        <v>1</v>
      </c>
      <c r="V67" s="168">
        <v>1</v>
      </c>
      <c r="W67" s="168">
        <v>1</v>
      </c>
      <c r="X67" s="168">
        <v>1</v>
      </c>
      <c r="Y67" s="203">
        <v>0.07</v>
      </c>
      <c r="Z67" s="203">
        <v>0.07</v>
      </c>
      <c r="AA67" s="203">
        <f t="shared" si="13"/>
        <v>0.07700000000000001</v>
      </c>
      <c r="AB67" s="203">
        <f t="shared" si="19"/>
        <v>0.08470000000000003</v>
      </c>
      <c r="AC67" s="203">
        <f t="shared" si="19"/>
        <v>0.09317000000000003</v>
      </c>
      <c r="AD67" s="8"/>
      <c r="AE67" s="8"/>
      <c r="AF67" s="8"/>
      <c r="AG67" s="7"/>
      <c r="AH67" s="7"/>
      <c r="AI67" s="7"/>
      <c r="AJ67" s="7"/>
    </row>
    <row r="68" spans="1:36" ht="12.75" customHeight="1">
      <c r="A68" s="372" t="s">
        <v>247</v>
      </c>
      <c r="B68" s="373"/>
      <c r="C68" s="373"/>
      <c r="D68" s="374"/>
      <c r="E68" s="168"/>
      <c r="F68" s="203"/>
      <c r="G68" s="203"/>
      <c r="H68" s="203"/>
      <c r="I68" s="205"/>
      <c r="J68" s="168">
        <v>1.06</v>
      </c>
      <c r="K68" s="203">
        <f t="shared" si="9"/>
        <v>1.3236898400000003</v>
      </c>
      <c r="L68" s="203">
        <f t="shared" si="10"/>
        <v>1.6426924729908003</v>
      </c>
      <c r="M68" s="203">
        <f t="shared" si="11"/>
        <v>1.9727537435114229</v>
      </c>
      <c r="N68" s="203">
        <f t="shared" si="12"/>
        <v>2.329506530488029</v>
      </c>
      <c r="O68" s="168">
        <v>0.12</v>
      </c>
      <c r="P68" s="202">
        <f t="shared" si="15"/>
        <v>0.14095379999999996</v>
      </c>
      <c r="Q68" s="202">
        <f t="shared" si="16"/>
        <v>0.16677202563839996</v>
      </c>
      <c r="R68" s="202">
        <f t="shared" si="17"/>
        <v>0.20361730280674295</v>
      </c>
      <c r="S68" s="202">
        <f t="shared" si="18"/>
        <v>0.2494440238283369</v>
      </c>
      <c r="T68" s="168">
        <v>2</v>
      </c>
      <c r="U68" s="168">
        <v>2</v>
      </c>
      <c r="V68" s="168">
        <v>2</v>
      </c>
      <c r="W68" s="168">
        <v>2</v>
      </c>
      <c r="X68" s="168">
        <v>2</v>
      </c>
      <c r="Y68" s="203">
        <v>0.05</v>
      </c>
      <c r="Z68" s="203">
        <v>0.05</v>
      </c>
      <c r="AA68" s="203">
        <f t="shared" si="13"/>
        <v>0.05500000000000001</v>
      </c>
      <c r="AB68" s="203">
        <f t="shared" si="19"/>
        <v>0.06050000000000001</v>
      </c>
      <c r="AC68" s="203">
        <f t="shared" si="19"/>
        <v>0.06655000000000001</v>
      </c>
      <c r="AD68" s="8"/>
      <c r="AE68" s="8"/>
      <c r="AF68" s="8"/>
      <c r="AG68" s="7"/>
      <c r="AH68" s="7"/>
      <c r="AI68" s="7"/>
      <c r="AJ68" s="7"/>
    </row>
    <row r="69" spans="1:36" ht="12.75" customHeight="1">
      <c r="A69" s="372" t="s">
        <v>248</v>
      </c>
      <c r="B69" s="373"/>
      <c r="C69" s="373"/>
      <c r="D69" s="374"/>
      <c r="E69" s="168"/>
      <c r="F69" s="203"/>
      <c r="G69" s="203"/>
      <c r="H69" s="203"/>
      <c r="I69" s="205"/>
      <c r="J69" s="168">
        <v>0.53</v>
      </c>
      <c r="K69" s="203">
        <f t="shared" si="9"/>
        <v>0.6618449200000002</v>
      </c>
      <c r="L69" s="203">
        <f t="shared" si="10"/>
        <v>0.8213462364954002</v>
      </c>
      <c r="M69" s="203">
        <f t="shared" si="11"/>
        <v>0.9863768717557114</v>
      </c>
      <c r="N69" s="203">
        <f t="shared" si="12"/>
        <v>1.1647532652440145</v>
      </c>
      <c r="O69" s="168">
        <v>0.03</v>
      </c>
      <c r="P69" s="202">
        <f t="shared" si="15"/>
        <v>0.03523844999999999</v>
      </c>
      <c r="Q69" s="202">
        <f t="shared" si="16"/>
        <v>0.04169300640959999</v>
      </c>
      <c r="R69" s="202">
        <f t="shared" si="17"/>
        <v>0.05090432570168574</v>
      </c>
      <c r="S69" s="202">
        <f t="shared" si="18"/>
        <v>0.06236100595708423</v>
      </c>
      <c r="T69" s="168">
        <v>2</v>
      </c>
      <c r="U69" s="168">
        <v>2</v>
      </c>
      <c r="V69" s="168">
        <v>2</v>
      </c>
      <c r="W69" s="168">
        <v>2</v>
      </c>
      <c r="X69" s="168">
        <v>2</v>
      </c>
      <c r="Y69" s="203">
        <v>0.04</v>
      </c>
      <c r="Z69" s="203">
        <v>0.04</v>
      </c>
      <c r="AA69" s="203">
        <f t="shared" si="13"/>
        <v>0.044000000000000004</v>
      </c>
      <c r="AB69" s="203">
        <f t="shared" si="19"/>
        <v>0.048400000000000006</v>
      </c>
      <c r="AC69" s="203">
        <f t="shared" si="19"/>
        <v>0.05324000000000001</v>
      </c>
      <c r="AD69" s="8"/>
      <c r="AE69" s="8"/>
      <c r="AF69" s="8"/>
      <c r="AG69" s="7"/>
      <c r="AH69" s="7"/>
      <c r="AI69" s="7"/>
      <c r="AJ69" s="7"/>
    </row>
    <row r="70" spans="1:36" ht="12.75" customHeight="1">
      <c r="A70" s="372" t="s">
        <v>249</v>
      </c>
      <c r="B70" s="373"/>
      <c r="C70" s="373"/>
      <c r="D70" s="374"/>
      <c r="E70" s="168"/>
      <c r="F70" s="203"/>
      <c r="G70" s="203"/>
      <c r="H70" s="203"/>
      <c r="I70" s="205"/>
      <c r="J70" s="168">
        <v>0.82</v>
      </c>
      <c r="K70" s="203">
        <f t="shared" si="9"/>
        <v>1.02398648</v>
      </c>
      <c r="L70" s="203">
        <f t="shared" si="10"/>
        <v>1.2707621017476</v>
      </c>
      <c r="M70" s="203">
        <f t="shared" si="11"/>
        <v>1.5260925185654401</v>
      </c>
      <c r="N70" s="203">
        <f t="shared" si="12"/>
        <v>1.8020710896228145</v>
      </c>
      <c r="O70" s="168">
        <v>0.01</v>
      </c>
      <c r="P70" s="202">
        <f t="shared" si="15"/>
        <v>0.011746149999999999</v>
      </c>
      <c r="Q70" s="202">
        <f t="shared" si="16"/>
        <v>0.0138976688032</v>
      </c>
      <c r="R70" s="202">
        <f t="shared" si="17"/>
        <v>0.016968108567228583</v>
      </c>
      <c r="S70" s="202">
        <f t="shared" si="18"/>
        <v>0.020787001985694747</v>
      </c>
      <c r="T70" s="168">
        <v>1</v>
      </c>
      <c r="U70" s="168">
        <v>1</v>
      </c>
      <c r="V70" s="168">
        <v>1</v>
      </c>
      <c r="W70" s="168">
        <v>1</v>
      </c>
      <c r="X70" s="168">
        <v>1</v>
      </c>
      <c r="Y70" s="203">
        <v>0.04</v>
      </c>
      <c r="Z70" s="203">
        <v>0.04</v>
      </c>
      <c r="AA70" s="203">
        <f t="shared" si="13"/>
        <v>0.044000000000000004</v>
      </c>
      <c r="AB70" s="203">
        <f t="shared" si="19"/>
        <v>0.048400000000000006</v>
      </c>
      <c r="AC70" s="203">
        <f t="shared" si="19"/>
        <v>0.05324000000000001</v>
      </c>
      <c r="AD70" s="8"/>
      <c r="AE70" s="8"/>
      <c r="AF70" s="8"/>
      <c r="AG70" s="7"/>
      <c r="AH70" s="7"/>
      <c r="AI70" s="7"/>
      <c r="AJ70" s="7"/>
    </row>
    <row r="71" spans="1:36" ht="12.75" customHeight="1">
      <c r="A71" s="372" t="s">
        <v>250</v>
      </c>
      <c r="B71" s="373"/>
      <c r="C71" s="373"/>
      <c r="D71" s="374"/>
      <c r="E71" s="168"/>
      <c r="F71" s="203"/>
      <c r="G71" s="203"/>
      <c r="H71" s="203"/>
      <c r="I71" s="205"/>
      <c r="J71" s="168">
        <v>1.97</v>
      </c>
      <c r="K71" s="203">
        <f t="shared" si="9"/>
        <v>2.46006508</v>
      </c>
      <c r="L71" s="203">
        <f t="shared" si="10"/>
        <v>3.0529284639546</v>
      </c>
      <c r="M71" s="203">
        <f t="shared" si="11"/>
        <v>3.666344221431606</v>
      </c>
      <c r="N71" s="203">
        <f t="shared" si="12"/>
        <v>4.329365910435298</v>
      </c>
      <c r="O71" s="168">
        <v>0.08</v>
      </c>
      <c r="P71" s="202">
        <f t="shared" si="15"/>
        <v>0.09396919999999999</v>
      </c>
      <c r="Q71" s="202">
        <f t="shared" si="16"/>
        <v>0.1111813504256</v>
      </c>
      <c r="R71" s="202">
        <f t="shared" si="17"/>
        <v>0.13574486853782866</v>
      </c>
      <c r="S71" s="202">
        <f t="shared" si="18"/>
        <v>0.16629601588555798</v>
      </c>
      <c r="T71" s="168">
        <v>2</v>
      </c>
      <c r="U71" s="168">
        <v>2</v>
      </c>
      <c r="V71" s="168">
        <v>2</v>
      </c>
      <c r="W71" s="168">
        <v>2</v>
      </c>
      <c r="X71" s="168">
        <v>2</v>
      </c>
      <c r="Y71" s="203">
        <v>0.06</v>
      </c>
      <c r="Z71" s="203">
        <v>0.06</v>
      </c>
      <c r="AA71" s="203">
        <f t="shared" si="13"/>
        <v>0.066</v>
      </c>
      <c r="AB71" s="203">
        <f t="shared" si="19"/>
        <v>0.07260000000000001</v>
      </c>
      <c r="AC71" s="203">
        <f t="shared" si="19"/>
        <v>0.07986000000000001</v>
      </c>
      <c r="AD71" s="8"/>
      <c r="AE71" s="8"/>
      <c r="AF71" s="8"/>
      <c r="AG71" s="7"/>
      <c r="AH71" s="7"/>
      <c r="AI71" s="7"/>
      <c r="AJ71" s="7"/>
    </row>
    <row r="72" spans="1:36" ht="12.75" customHeight="1">
      <c r="A72" s="372" t="s">
        <v>251</v>
      </c>
      <c r="B72" s="373"/>
      <c r="C72" s="373"/>
      <c r="D72" s="374"/>
      <c r="E72" s="168"/>
      <c r="F72" s="203"/>
      <c r="G72" s="203"/>
      <c r="H72" s="203"/>
      <c r="I72" s="205"/>
      <c r="J72" s="168">
        <v>0.03</v>
      </c>
      <c r="K72" s="203">
        <f t="shared" si="9"/>
        <v>0.03746292</v>
      </c>
      <c r="L72" s="203">
        <f t="shared" si="10"/>
        <v>0.04649129640539999</v>
      </c>
      <c r="M72" s="203">
        <f t="shared" si="11"/>
        <v>0.055832653118247796</v>
      </c>
      <c r="N72" s="203">
        <f t="shared" si="12"/>
        <v>0.06592943010815173</v>
      </c>
      <c r="O72" s="168">
        <v>0.003</v>
      </c>
      <c r="P72" s="202">
        <f t="shared" si="15"/>
        <v>0.003523845</v>
      </c>
      <c r="Q72" s="202">
        <f t="shared" si="16"/>
        <v>0.00416930064096</v>
      </c>
      <c r="R72" s="202">
        <f t="shared" si="17"/>
        <v>0.0050904325701685744</v>
      </c>
      <c r="S72" s="202">
        <f t="shared" si="18"/>
        <v>0.006236100595708424</v>
      </c>
      <c r="T72" s="168">
        <v>1</v>
      </c>
      <c r="U72" s="168">
        <v>1</v>
      </c>
      <c r="V72" s="168">
        <v>1</v>
      </c>
      <c r="W72" s="168">
        <v>1</v>
      </c>
      <c r="X72" s="168">
        <v>1</v>
      </c>
      <c r="Y72" s="232">
        <v>0.001</v>
      </c>
      <c r="Z72" s="232">
        <v>0.001</v>
      </c>
      <c r="AA72" s="232">
        <f t="shared" si="13"/>
        <v>0.0011</v>
      </c>
      <c r="AB72" s="232">
        <f t="shared" si="19"/>
        <v>0.0012100000000000001</v>
      </c>
      <c r="AC72" s="232">
        <f t="shared" si="19"/>
        <v>0.0013310000000000002</v>
      </c>
      <c r="AD72" s="8"/>
      <c r="AE72" s="8"/>
      <c r="AF72" s="8"/>
      <c r="AG72" s="7"/>
      <c r="AH72" s="7"/>
      <c r="AI72" s="7"/>
      <c r="AJ72" s="7"/>
    </row>
    <row r="73" spans="1:36" ht="12.75" customHeight="1">
      <c r="A73" s="372" t="s">
        <v>252</v>
      </c>
      <c r="B73" s="373"/>
      <c r="C73" s="373"/>
      <c r="D73" s="374"/>
      <c r="E73" s="168"/>
      <c r="F73" s="203"/>
      <c r="G73" s="203"/>
      <c r="H73" s="203"/>
      <c r="I73" s="205"/>
      <c r="J73" s="168">
        <v>0.03</v>
      </c>
      <c r="K73" s="203">
        <f t="shared" si="9"/>
        <v>0.03746292</v>
      </c>
      <c r="L73" s="203">
        <f t="shared" si="10"/>
        <v>0.04649129640539999</v>
      </c>
      <c r="M73" s="203">
        <f t="shared" si="11"/>
        <v>0.055832653118247796</v>
      </c>
      <c r="N73" s="203">
        <f t="shared" si="12"/>
        <v>0.06592943010815173</v>
      </c>
      <c r="O73" s="168">
        <v>0.003</v>
      </c>
      <c r="P73" s="202">
        <f t="shared" si="15"/>
        <v>0.003523845</v>
      </c>
      <c r="Q73" s="202">
        <f t="shared" si="16"/>
        <v>0.00416930064096</v>
      </c>
      <c r="R73" s="202">
        <f t="shared" si="17"/>
        <v>0.0050904325701685744</v>
      </c>
      <c r="S73" s="202">
        <f t="shared" si="18"/>
        <v>0.006236100595708424</v>
      </c>
      <c r="T73" s="168">
        <v>1</v>
      </c>
      <c r="U73" s="168">
        <v>1</v>
      </c>
      <c r="V73" s="168">
        <v>1</v>
      </c>
      <c r="W73" s="168">
        <v>1</v>
      </c>
      <c r="X73" s="168">
        <v>1</v>
      </c>
      <c r="Y73" s="232">
        <v>0.001</v>
      </c>
      <c r="Z73" s="232">
        <v>0.001</v>
      </c>
      <c r="AA73" s="232">
        <f t="shared" si="13"/>
        <v>0.0011</v>
      </c>
      <c r="AB73" s="232">
        <f t="shared" si="19"/>
        <v>0.0012100000000000001</v>
      </c>
      <c r="AC73" s="232">
        <f t="shared" si="19"/>
        <v>0.0013310000000000002</v>
      </c>
      <c r="AD73" s="8"/>
      <c r="AE73" s="8"/>
      <c r="AF73" s="8"/>
      <c r="AG73" s="7"/>
      <c r="AH73" s="7"/>
      <c r="AI73" s="7"/>
      <c r="AJ73" s="7"/>
    </row>
    <row r="74" spans="1:36" ht="12.75" customHeight="1">
      <c r="A74" s="372" t="s">
        <v>253</v>
      </c>
      <c r="B74" s="373"/>
      <c r="C74" s="373"/>
      <c r="D74" s="374"/>
      <c r="E74" s="168"/>
      <c r="F74" s="203"/>
      <c r="G74" s="203"/>
      <c r="H74" s="203"/>
      <c r="I74" s="205"/>
      <c r="J74" s="168">
        <v>2.95</v>
      </c>
      <c r="K74" s="203">
        <f t="shared" si="9"/>
        <v>3.6838538000000005</v>
      </c>
      <c r="L74" s="203">
        <f t="shared" si="10"/>
        <v>4.571644146531</v>
      </c>
      <c r="M74" s="203">
        <f t="shared" si="11"/>
        <v>5.490210889961033</v>
      </c>
      <c r="N74" s="203">
        <f t="shared" si="12"/>
        <v>6.483060627301588</v>
      </c>
      <c r="O74" s="168">
        <v>0.02</v>
      </c>
      <c r="P74" s="202">
        <f t="shared" si="15"/>
        <v>0.023492299999999997</v>
      </c>
      <c r="Q74" s="202">
        <f t="shared" si="16"/>
        <v>0.0277953376064</v>
      </c>
      <c r="R74" s="202">
        <f t="shared" si="17"/>
        <v>0.033936217134457165</v>
      </c>
      <c r="S74" s="202">
        <f t="shared" si="18"/>
        <v>0.041574003971389495</v>
      </c>
      <c r="T74" s="168">
        <v>2</v>
      </c>
      <c r="U74" s="168">
        <v>2</v>
      </c>
      <c r="V74" s="168">
        <v>2</v>
      </c>
      <c r="W74" s="168">
        <v>2</v>
      </c>
      <c r="X74" s="168">
        <v>2</v>
      </c>
      <c r="Y74" s="203">
        <v>0.03</v>
      </c>
      <c r="Z74" s="203">
        <v>0.03</v>
      </c>
      <c r="AA74" s="203">
        <f t="shared" si="13"/>
        <v>0.033</v>
      </c>
      <c r="AB74" s="203">
        <f t="shared" si="19"/>
        <v>0.036300000000000006</v>
      </c>
      <c r="AC74" s="203">
        <f t="shared" si="19"/>
        <v>0.03993000000000001</v>
      </c>
      <c r="AD74" s="8"/>
      <c r="AE74" s="8"/>
      <c r="AF74" s="8"/>
      <c r="AG74" s="7"/>
      <c r="AH74" s="7"/>
      <c r="AI74" s="7"/>
      <c r="AJ74" s="7"/>
    </row>
    <row r="75" spans="1:36" ht="12.75" customHeight="1">
      <c r="A75" s="372" t="s">
        <v>254</v>
      </c>
      <c r="B75" s="373"/>
      <c r="C75" s="373"/>
      <c r="D75" s="374"/>
      <c r="E75" s="168"/>
      <c r="F75" s="203"/>
      <c r="G75" s="203"/>
      <c r="H75" s="203"/>
      <c r="I75" s="205"/>
      <c r="J75" s="168">
        <v>1.18</v>
      </c>
      <c r="K75" s="203">
        <f t="shared" si="9"/>
        <v>1.4735415200000002</v>
      </c>
      <c r="L75" s="203">
        <f t="shared" si="10"/>
        <v>1.8286576586124001</v>
      </c>
      <c r="M75" s="203">
        <f t="shared" si="11"/>
        <v>2.196084355984414</v>
      </c>
      <c r="N75" s="203">
        <f t="shared" si="12"/>
        <v>2.5932242509206356</v>
      </c>
      <c r="O75" s="168">
        <v>0.1</v>
      </c>
      <c r="P75" s="202">
        <f t="shared" si="15"/>
        <v>0.11746150000000001</v>
      </c>
      <c r="Q75" s="202">
        <f t="shared" si="16"/>
        <v>0.13897668803200003</v>
      </c>
      <c r="R75" s="202">
        <f t="shared" si="17"/>
        <v>0.16968108567228585</v>
      </c>
      <c r="S75" s="202">
        <f t="shared" si="18"/>
        <v>0.2078700198569475</v>
      </c>
      <c r="T75" s="168">
        <v>2</v>
      </c>
      <c r="U75" s="168">
        <v>2</v>
      </c>
      <c r="V75" s="168">
        <v>2</v>
      </c>
      <c r="W75" s="168">
        <v>2</v>
      </c>
      <c r="X75" s="168">
        <v>2</v>
      </c>
      <c r="Y75" s="203">
        <v>0.08</v>
      </c>
      <c r="Z75" s="203">
        <v>0.08</v>
      </c>
      <c r="AA75" s="203">
        <f t="shared" si="13"/>
        <v>0.08800000000000001</v>
      </c>
      <c r="AB75" s="203">
        <f t="shared" si="19"/>
        <v>0.09680000000000001</v>
      </c>
      <c r="AC75" s="203">
        <f t="shared" si="19"/>
        <v>0.10648000000000002</v>
      </c>
      <c r="AD75" s="8"/>
      <c r="AE75" s="8"/>
      <c r="AF75" s="8"/>
      <c r="AG75" s="7"/>
      <c r="AH75" s="7"/>
      <c r="AI75" s="7"/>
      <c r="AJ75" s="7"/>
    </row>
    <row r="76" spans="1:36" ht="12.75" customHeight="1">
      <c r="A76" s="372" t="s">
        <v>255</v>
      </c>
      <c r="B76" s="373"/>
      <c r="C76" s="373"/>
      <c r="D76" s="374"/>
      <c r="E76" s="168"/>
      <c r="F76" s="203"/>
      <c r="G76" s="203"/>
      <c r="H76" s="203"/>
      <c r="I76" s="205"/>
      <c r="J76" s="168">
        <v>0.32</v>
      </c>
      <c r="K76" s="203">
        <f t="shared" si="9"/>
        <v>0.39960448000000004</v>
      </c>
      <c r="L76" s="203">
        <f t="shared" si="10"/>
        <v>0.4959071616576</v>
      </c>
      <c r="M76" s="203">
        <f t="shared" si="11"/>
        <v>0.5955482999279766</v>
      </c>
      <c r="N76" s="203">
        <f t="shared" si="12"/>
        <v>0.703247254486952</v>
      </c>
      <c r="O76" s="168">
        <v>0.03</v>
      </c>
      <c r="P76" s="202">
        <f t="shared" si="15"/>
        <v>0.03523844999999999</v>
      </c>
      <c r="Q76" s="202">
        <f t="shared" si="16"/>
        <v>0.04169300640959999</v>
      </c>
      <c r="R76" s="202">
        <f t="shared" si="17"/>
        <v>0.05090432570168574</v>
      </c>
      <c r="S76" s="202">
        <f t="shared" si="18"/>
        <v>0.06236100595708423</v>
      </c>
      <c r="T76" s="168">
        <v>1</v>
      </c>
      <c r="U76" s="168">
        <v>1</v>
      </c>
      <c r="V76" s="168">
        <v>1</v>
      </c>
      <c r="W76" s="168">
        <v>1</v>
      </c>
      <c r="X76" s="168">
        <v>1</v>
      </c>
      <c r="Y76" s="203">
        <v>0.02</v>
      </c>
      <c r="Z76" s="203">
        <v>0.02</v>
      </c>
      <c r="AA76" s="203">
        <f t="shared" si="13"/>
        <v>0.022000000000000002</v>
      </c>
      <c r="AB76" s="203">
        <f t="shared" si="19"/>
        <v>0.024200000000000003</v>
      </c>
      <c r="AC76" s="203">
        <f t="shared" si="19"/>
        <v>0.026620000000000005</v>
      </c>
      <c r="AD76" s="8"/>
      <c r="AE76" s="8"/>
      <c r="AF76" s="8"/>
      <c r="AG76" s="7"/>
      <c r="AH76" s="7"/>
      <c r="AI76" s="7"/>
      <c r="AJ76" s="7"/>
    </row>
    <row r="77" spans="1:36" ht="12.75" customHeight="1">
      <c r="A77" s="372" t="s">
        <v>256</v>
      </c>
      <c r="B77" s="373"/>
      <c r="C77" s="373"/>
      <c r="D77" s="374"/>
      <c r="E77" s="168"/>
      <c r="F77" s="203"/>
      <c r="G77" s="203"/>
      <c r="H77" s="203"/>
      <c r="I77" s="205"/>
      <c r="J77" s="168">
        <v>0.16</v>
      </c>
      <c r="K77" s="203">
        <f t="shared" si="9"/>
        <v>0.19980224000000002</v>
      </c>
      <c r="L77" s="203">
        <f t="shared" si="10"/>
        <v>0.2479535808288</v>
      </c>
      <c r="M77" s="203">
        <f t="shared" si="11"/>
        <v>0.2977741499639883</v>
      </c>
      <c r="N77" s="203">
        <f t="shared" si="12"/>
        <v>0.351623627243476</v>
      </c>
      <c r="O77" s="168">
        <v>0.005</v>
      </c>
      <c r="P77" s="202">
        <f t="shared" si="15"/>
        <v>0.005873074999999999</v>
      </c>
      <c r="Q77" s="202">
        <f t="shared" si="16"/>
        <v>0.0069488344016</v>
      </c>
      <c r="R77" s="202">
        <f t="shared" si="17"/>
        <v>0.008484054283614291</v>
      </c>
      <c r="S77" s="202">
        <f t="shared" si="18"/>
        <v>0.010393500992847374</v>
      </c>
      <c r="T77" s="168">
        <v>1</v>
      </c>
      <c r="U77" s="168">
        <v>1</v>
      </c>
      <c r="V77" s="168">
        <v>1</v>
      </c>
      <c r="W77" s="168">
        <v>1</v>
      </c>
      <c r="X77" s="168">
        <v>1</v>
      </c>
      <c r="Y77" s="232">
        <v>0.004</v>
      </c>
      <c r="Z77" s="232">
        <v>0.004</v>
      </c>
      <c r="AA77" s="232">
        <f t="shared" si="13"/>
        <v>0.0044</v>
      </c>
      <c r="AB77" s="232">
        <f t="shared" si="19"/>
        <v>0.0048400000000000006</v>
      </c>
      <c r="AC77" s="232">
        <f t="shared" si="19"/>
        <v>0.005324000000000001</v>
      </c>
      <c r="AD77" s="8"/>
      <c r="AE77" s="8"/>
      <c r="AF77" s="8"/>
      <c r="AG77" s="7"/>
      <c r="AH77" s="7"/>
      <c r="AI77" s="7"/>
      <c r="AJ77" s="7"/>
    </row>
    <row r="78" spans="1:36" ht="12.75" customHeight="1">
      <c r="A78" s="372" t="s">
        <v>257</v>
      </c>
      <c r="B78" s="373"/>
      <c r="C78" s="373"/>
      <c r="D78" s="374"/>
      <c r="E78" s="168"/>
      <c r="F78" s="203"/>
      <c r="G78" s="203"/>
      <c r="H78" s="203"/>
      <c r="I78" s="205"/>
      <c r="J78" s="168">
        <v>0.46</v>
      </c>
      <c r="K78" s="203">
        <f t="shared" si="9"/>
        <v>0.57443144</v>
      </c>
      <c r="L78" s="203">
        <f t="shared" si="10"/>
        <v>0.7128665448828</v>
      </c>
      <c r="M78" s="203">
        <f t="shared" si="11"/>
        <v>0.8561006811464663</v>
      </c>
      <c r="N78" s="203">
        <f t="shared" si="12"/>
        <v>1.0109179283249934</v>
      </c>
      <c r="O78" s="168">
        <v>0.04</v>
      </c>
      <c r="P78" s="202">
        <f t="shared" si="15"/>
        <v>0.046984599999999994</v>
      </c>
      <c r="Q78" s="202">
        <f t="shared" si="16"/>
        <v>0.0555906752128</v>
      </c>
      <c r="R78" s="202">
        <f t="shared" si="17"/>
        <v>0.06787243426891433</v>
      </c>
      <c r="S78" s="202">
        <f t="shared" si="18"/>
        <v>0.08314800794277899</v>
      </c>
      <c r="T78" s="168">
        <v>1</v>
      </c>
      <c r="U78" s="168">
        <v>1</v>
      </c>
      <c r="V78" s="168">
        <v>1</v>
      </c>
      <c r="W78" s="168">
        <v>1</v>
      </c>
      <c r="X78" s="168">
        <v>1</v>
      </c>
      <c r="Y78" s="203">
        <v>0.02</v>
      </c>
      <c r="Z78" s="203">
        <v>0.02</v>
      </c>
      <c r="AA78" s="203">
        <f t="shared" si="13"/>
        <v>0.022000000000000002</v>
      </c>
      <c r="AB78" s="203">
        <f t="shared" si="19"/>
        <v>0.024200000000000003</v>
      </c>
      <c r="AC78" s="203">
        <f t="shared" si="19"/>
        <v>0.026620000000000005</v>
      </c>
      <c r="AD78" s="8"/>
      <c r="AE78" s="8"/>
      <c r="AF78" s="8"/>
      <c r="AG78" s="7"/>
      <c r="AH78" s="7"/>
      <c r="AI78" s="7"/>
      <c r="AJ78" s="7"/>
    </row>
    <row r="79" spans="1:36" ht="12.75" customHeight="1">
      <c r="A79" s="372" t="s">
        <v>258</v>
      </c>
      <c r="B79" s="373"/>
      <c r="C79" s="373"/>
      <c r="D79" s="374"/>
      <c r="E79" s="168"/>
      <c r="F79" s="203"/>
      <c r="G79" s="203"/>
      <c r="H79" s="203"/>
      <c r="I79" s="205"/>
      <c r="J79" s="168">
        <v>0.78</v>
      </c>
      <c r="K79" s="203">
        <f t="shared" si="9"/>
        <v>0.9740359200000002</v>
      </c>
      <c r="L79" s="203">
        <f t="shared" si="10"/>
        <v>1.2087737065404003</v>
      </c>
      <c r="M79" s="203">
        <f t="shared" si="11"/>
        <v>1.451648981074443</v>
      </c>
      <c r="N79" s="203">
        <f t="shared" si="12"/>
        <v>1.7141651828119457</v>
      </c>
      <c r="O79" s="168">
        <v>0.05</v>
      </c>
      <c r="P79" s="202">
        <f t="shared" si="15"/>
        <v>0.058730750000000005</v>
      </c>
      <c r="Q79" s="202">
        <f t="shared" si="16"/>
        <v>0.06948834401600001</v>
      </c>
      <c r="R79" s="202">
        <f t="shared" si="17"/>
        <v>0.08484054283614292</v>
      </c>
      <c r="S79" s="202">
        <f t="shared" si="18"/>
        <v>0.10393500992847375</v>
      </c>
      <c r="T79" s="168">
        <v>1</v>
      </c>
      <c r="U79" s="168">
        <v>1</v>
      </c>
      <c r="V79" s="168">
        <v>1</v>
      </c>
      <c r="W79" s="168">
        <v>1</v>
      </c>
      <c r="X79" s="168">
        <v>1</v>
      </c>
      <c r="Y79" s="203">
        <v>0.04</v>
      </c>
      <c r="Z79" s="203">
        <v>0.04</v>
      </c>
      <c r="AA79" s="203">
        <f t="shared" si="13"/>
        <v>0.044000000000000004</v>
      </c>
      <c r="AB79" s="203">
        <f t="shared" si="19"/>
        <v>0.048400000000000006</v>
      </c>
      <c r="AC79" s="203">
        <f t="shared" si="19"/>
        <v>0.05324000000000001</v>
      </c>
      <c r="AD79" s="8"/>
      <c r="AE79" s="8"/>
      <c r="AF79" s="8"/>
      <c r="AG79" s="7"/>
      <c r="AH79" s="7"/>
      <c r="AI79" s="7"/>
      <c r="AJ79" s="7"/>
    </row>
    <row r="80" spans="1:36" ht="12.75" customHeight="1">
      <c r="A80" s="378" t="s">
        <v>259</v>
      </c>
      <c r="B80" s="379"/>
      <c r="C80" s="379"/>
      <c r="D80" s="380"/>
      <c r="E80" s="168"/>
      <c r="F80" s="203"/>
      <c r="G80" s="203"/>
      <c r="H80" s="203"/>
      <c r="I80" s="205"/>
      <c r="J80" s="168">
        <v>4.43</v>
      </c>
      <c r="K80" s="203">
        <f t="shared" si="9"/>
        <v>5.53202452</v>
      </c>
      <c r="L80" s="203">
        <f t="shared" si="10"/>
        <v>6.8652147691974</v>
      </c>
      <c r="M80" s="203">
        <f t="shared" si="11"/>
        <v>8.244621777127925</v>
      </c>
      <c r="N80" s="203">
        <f t="shared" si="12"/>
        <v>9.73557917930374</v>
      </c>
      <c r="O80" s="168">
        <v>0.09</v>
      </c>
      <c r="P80" s="202">
        <f t="shared" si="15"/>
        <v>0.10571534999999999</v>
      </c>
      <c r="Q80" s="202">
        <f t="shared" si="16"/>
        <v>0.1250790192288</v>
      </c>
      <c r="R80" s="202">
        <f t="shared" si="17"/>
        <v>0.15271297710505724</v>
      </c>
      <c r="S80" s="202">
        <f t="shared" si="18"/>
        <v>0.18708301787125273</v>
      </c>
      <c r="T80" s="168">
        <v>7</v>
      </c>
      <c r="U80" s="168">
        <v>10</v>
      </c>
      <c r="V80" s="168">
        <v>10</v>
      </c>
      <c r="W80" s="168">
        <v>10</v>
      </c>
      <c r="X80" s="168">
        <v>10</v>
      </c>
      <c r="Y80" s="203">
        <v>0.25</v>
      </c>
      <c r="Z80" s="203">
        <v>0.36</v>
      </c>
      <c r="AA80" s="203">
        <f t="shared" si="13"/>
        <v>0.396</v>
      </c>
      <c r="AB80" s="203">
        <f t="shared" si="19"/>
        <v>0.43560000000000004</v>
      </c>
      <c r="AC80" s="203">
        <f t="shared" si="19"/>
        <v>0.4791600000000001</v>
      </c>
      <c r="AD80" s="8"/>
      <c r="AE80" s="8"/>
      <c r="AF80" s="8"/>
      <c r="AG80" s="7"/>
      <c r="AH80" s="7"/>
      <c r="AI80" s="7"/>
      <c r="AJ80" s="7"/>
    </row>
    <row r="81" spans="1:36" ht="12.75" customHeight="1">
      <c r="A81" s="375" t="s">
        <v>260</v>
      </c>
      <c r="B81" s="376"/>
      <c r="C81" s="376"/>
      <c r="D81" s="377"/>
      <c r="E81" s="168"/>
      <c r="F81" s="203"/>
      <c r="G81" s="203"/>
      <c r="H81" s="203"/>
      <c r="I81" s="205"/>
      <c r="J81" s="168">
        <v>1.29</v>
      </c>
      <c r="K81" s="203">
        <f t="shared" si="9"/>
        <v>1.6109055600000002</v>
      </c>
      <c r="L81" s="203">
        <f t="shared" si="10"/>
        <v>1.9991257454322002</v>
      </c>
      <c r="M81" s="203">
        <f t="shared" si="11"/>
        <v>2.4008040840846556</v>
      </c>
      <c r="N81" s="203">
        <f t="shared" si="12"/>
        <v>2.8349654946505254</v>
      </c>
      <c r="O81" s="168">
        <v>0.13</v>
      </c>
      <c r="P81" s="202">
        <f t="shared" si="15"/>
        <v>0.15269995</v>
      </c>
      <c r="Q81" s="202">
        <f t="shared" si="16"/>
        <v>0.18066969444160003</v>
      </c>
      <c r="R81" s="202">
        <f t="shared" si="17"/>
        <v>0.22058541137397158</v>
      </c>
      <c r="S81" s="202">
        <f t="shared" si="18"/>
        <v>0.27023102581403174</v>
      </c>
      <c r="T81" s="168">
        <v>7</v>
      </c>
      <c r="U81" s="168">
        <v>7</v>
      </c>
      <c r="V81" s="168">
        <v>7</v>
      </c>
      <c r="W81" s="168">
        <v>7</v>
      </c>
      <c r="X81" s="168">
        <v>7</v>
      </c>
      <c r="Y81" s="203">
        <v>0.27</v>
      </c>
      <c r="Z81" s="203">
        <v>0.27</v>
      </c>
      <c r="AA81" s="203">
        <f t="shared" si="13"/>
        <v>0.29700000000000004</v>
      </c>
      <c r="AB81" s="203">
        <f t="shared" si="19"/>
        <v>0.32670000000000005</v>
      </c>
      <c r="AC81" s="203">
        <f t="shared" si="19"/>
        <v>0.3593700000000001</v>
      </c>
      <c r="AD81" s="8"/>
      <c r="AE81" s="8"/>
      <c r="AF81" s="8"/>
      <c r="AG81" s="7"/>
      <c r="AH81" s="7"/>
      <c r="AI81" s="7"/>
      <c r="AJ81" s="7"/>
    </row>
    <row r="82" spans="1:36" ht="12.75" customHeight="1">
      <c r="A82" s="375" t="s">
        <v>261</v>
      </c>
      <c r="B82" s="376"/>
      <c r="C82" s="376"/>
      <c r="D82" s="377"/>
      <c r="E82" s="168"/>
      <c r="F82" s="203"/>
      <c r="G82" s="203"/>
      <c r="H82" s="203"/>
      <c r="I82" s="205"/>
      <c r="J82" s="168">
        <v>0.49</v>
      </c>
      <c r="K82" s="203">
        <f t="shared" si="9"/>
        <v>0.61189436</v>
      </c>
      <c r="L82" s="203">
        <f t="shared" si="10"/>
        <v>0.7593578412881999</v>
      </c>
      <c r="M82" s="203">
        <f t="shared" si="11"/>
        <v>0.911933334264714</v>
      </c>
      <c r="N82" s="203">
        <f t="shared" si="12"/>
        <v>1.076847358433145</v>
      </c>
      <c r="O82" s="168">
        <v>0.12</v>
      </c>
      <c r="P82" s="202">
        <f t="shared" si="15"/>
        <v>0.14095379999999996</v>
      </c>
      <c r="Q82" s="202">
        <f t="shared" si="16"/>
        <v>0.16677202563839996</v>
      </c>
      <c r="R82" s="202">
        <f t="shared" si="17"/>
        <v>0.20361730280674295</v>
      </c>
      <c r="S82" s="202">
        <f t="shared" si="18"/>
        <v>0.2494440238283369</v>
      </c>
      <c r="T82" s="168">
        <v>1</v>
      </c>
      <c r="U82" s="168">
        <v>1</v>
      </c>
      <c r="V82" s="168">
        <v>1</v>
      </c>
      <c r="W82" s="168">
        <v>1</v>
      </c>
      <c r="X82" s="168">
        <v>1</v>
      </c>
      <c r="Y82" s="203">
        <v>0.04</v>
      </c>
      <c r="Z82" s="203">
        <v>0.04</v>
      </c>
      <c r="AA82" s="203">
        <f aca="true" t="shared" si="20" ref="AA82:AC83">Z82*1.1</f>
        <v>0.044000000000000004</v>
      </c>
      <c r="AB82" s="203">
        <f t="shared" si="20"/>
        <v>0.048400000000000006</v>
      </c>
      <c r="AC82" s="203">
        <f t="shared" si="20"/>
        <v>0.05324000000000001</v>
      </c>
      <c r="AD82" s="8"/>
      <c r="AE82" s="8"/>
      <c r="AF82" s="8"/>
      <c r="AG82" s="7"/>
      <c r="AH82" s="7"/>
      <c r="AI82" s="7"/>
      <c r="AJ82" s="7"/>
    </row>
    <row r="83" spans="1:36" ht="12.75" customHeight="1">
      <c r="A83" s="375" t="s">
        <v>259</v>
      </c>
      <c r="B83" s="376"/>
      <c r="C83" s="376"/>
      <c r="D83" s="377"/>
      <c r="E83" s="168"/>
      <c r="F83" s="203"/>
      <c r="G83" s="203"/>
      <c r="H83" s="203"/>
      <c r="I83" s="205"/>
      <c r="J83" s="168">
        <v>3.69</v>
      </c>
      <c r="K83" s="203">
        <f t="shared" si="9"/>
        <v>4.60793916</v>
      </c>
      <c r="L83" s="203">
        <f t="shared" si="10"/>
        <v>5.718429457864199</v>
      </c>
      <c r="M83" s="203">
        <f t="shared" si="11"/>
        <v>6.86741633354448</v>
      </c>
      <c r="N83" s="203">
        <f t="shared" si="12"/>
        <v>8.109319903302664</v>
      </c>
      <c r="O83" s="168">
        <v>0.5</v>
      </c>
      <c r="P83" s="202">
        <f t="shared" si="15"/>
        <v>0.5873075</v>
      </c>
      <c r="Q83" s="202">
        <f t="shared" si="16"/>
        <v>0.69488344016</v>
      </c>
      <c r="R83" s="202">
        <f t="shared" si="17"/>
        <v>0.8484054283614292</v>
      </c>
      <c r="S83" s="202">
        <f t="shared" si="18"/>
        <v>1.0393500992847375</v>
      </c>
      <c r="T83" s="168">
        <v>6</v>
      </c>
      <c r="U83" s="168">
        <v>6</v>
      </c>
      <c r="V83" s="168">
        <v>6</v>
      </c>
      <c r="W83" s="168">
        <v>6</v>
      </c>
      <c r="X83" s="168">
        <v>6</v>
      </c>
      <c r="Y83" s="203">
        <v>0.23</v>
      </c>
      <c r="Z83" s="203">
        <v>0.23</v>
      </c>
      <c r="AA83" s="203">
        <f t="shared" si="20"/>
        <v>0.25300000000000006</v>
      </c>
      <c r="AB83" s="203">
        <f t="shared" si="20"/>
        <v>0.2783000000000001</v>
      </c>
      <c r="AC83" s="203">
        <f t="shared" si="20"/>
        <v>0.3061300000000001</v>
      </c>
      <c r="AD83" s="8"/>
      <c r="AE83" s="8"/>
      <c r="AF83" s="8"/>
      <c r="AG83" s="7"/>
      <c r="AH83" s="7"/>
      <c r="AI83" s="7"/>
      <c r="AJ83" s="7"/>
    </row>
    <row r="84" spans="1:36" ht="12.75" customHeight="1">
      <c r="A84" s="357"/>
      <c r="B84" s="358"/>
      <c r="C84" s="358"/>
      <c r="D84" s="359"/>
      <c r="E84" s="168"/>
      <c r="F84" s="203"/>
      <c r="G84" s="203"/>
      <c r="H84" s="203"/>
      <c r="I84" s="205"/>
      <c r="J84" s="168">
        <f aca="true" t="shared" si="21" ref="J84:AC84">SUM(J50:J83)</f>
        <v>52.940000000000005</v>
      </c>
      <c r="K84" s="203">
        <f t="shared" si="21"/>
        <v>66.10956616</v>
      </c>
      <c r="L84" s="203">
        <f t="shared" si="21"/>
        <v>82.04164105672922</v>
      </c>
      <c r="M84" s="203">
        <f t="shared" si="21"/>
        <v>98.52602186933463</v>
      </c>
      <c r="N84" s="203">
        <f t="shared" si="21"/>
        <v>116.34346766418513</v>
      </c>
      <c r="O84" s="203">
        <f t="shared" si="21"/>
        <v>4.041</v>
      </c>
      <c r="P84" s="203">
        <f t="shared" si="21"/>
        <v>4.746619215</v>
      </c>
      <c r="Q84" s="203">
        <f t="shared" si="21"/>
        <v>5.61604796337312</v>
      </c>
      <c r="R84" s="203">
        <f t="shared" si="21"/>
        <v>6.856812672017071</v>
      </c>
      <c r="S84" s="203">
        <f t="shared" si="21"/>
        <v>8.400027502419247</v>
      </c>
      <c r="T84" s="168">
        <f t="shared" si="21"/>
        <v>94</v>
      </c>
      <c r="U84" s="168">
        <f t="shared" si="21"/>
        <v>101</v>
      </c>
      <c r="V84" s="168">
        <f t="shared" si="21"/>
        <v>102</v>
      </c>
      <c r="W84" s="168">
        <f t="shared" si="21"/>
        <v>103</v>
      </c>
      <c r="X84" s="168">
        <f t="shared" si="21"/>
        <v>103</v>
      </c>
      <c r="Y84" s="203">
        <f t="shared" si="21"/>
        <v>3.7059999999999995</v>
      </c>
      <c r="Z84" s="203">
        <f t="shared" si="21"/>
        <v>3.9559999999999995</v>
      </c>
      <c r="AA84" s="203">
        <f t="shared" si="21"/>
        <v>4.351599999999999</v>
      </c>
      <c r="AB84" s="203">
        <f t="shared" si="21"/>
        <v>4.786760000000001</v>
      </c>
      <c r="AC84" s="203">
        <f t="shared" si="21"/>
        <v>5.265436000000002</v>
      </c>
      <c r="AD84" s="8"/>
      <c r="AE84" s="8"/>
      <c r="AF84" s="8"/>
      <c r="AG84" s="7"/>
      <c r="AH84" s="7"/>
      <c r="AI84" s="7"/>
      <c r="AJ84" s="7"/>
    </row>
    <row r="85" spans="1:36" ht="18" customHeight="1">
      <c r="A85" s="280" t="s">
        <v>225</v>
      </c>
      <c r="B85" s="280"/>
      <c r="C85" s="280"/>
      <c r="D85" s="281"/>
      <c r="E85" s="168"/>
      <c r="F85" s="203"/>
      <c r="G85" s="203"/>
      <c r="H85" s="203"/>
      <c r="I85" s="205"/>
      <c r="J85" s="168"/>
      <c r="K85" s="203">
        <v>112.4</v>
      </c>
      <c r="L85" s="203">
        <v>111.5</v>
      </c>
      <c r="M85" s="203">
        <v>107.9</v>
      </c>
      <c r="N85" s="203">
        <v>106</v>
      </c>
      <c r="O85" s="168"/>
      <c r="P85" s="203"/>
      <c r="Q85" s="203"/>
      <c r="R85" s="203"/>
      <c r="S85" s="203"/>
      <c r="T85" s="168"/>
      <c r="U85" s="168"/>
      <c r="V85" s="168"/>
      <c r="W85" s="168"/>
      <c r="X85" s="168"/>
      <c r="Y85" s="203"/>
      <c r="Z85" s="203"/>
      <c r="AA85" s="203"/>
      <c r="AB85" s="203"/>
      <c r="AC85" s="203"/>
      <c r="AD85" s="8"/>
      <c r="AE85" s="8"/>
      <c r="AF85" s="8"/>
      <c r="AG85" s="7"/>
      <c r="AH85" s="7"/>
      <c r="AI85" s="7"/>
      <c r="AJ85" s="7"/>
    </row>
    <row r="86" spans="1:36" ht="21.75" customHeight="1">
      <c r="A86" s="275" t="s">
        <v>226</v>
      </c>
      <c r="B86" s="275"/>
      <c r="C86" s="275"/>
      <c r="D86" s="276"/>
      <c r="E86" s="173"/>
      <c r="F86" s="173"/>
      <c r="G86" s="173"/>
      <c r="H86" s="173"/>
      <c r="I86" s="173"/>
      <c r="J86" s="173"/>
      <c r="K86" s="173">
        <v>111</v>
      </c>
      <c r="L86" s="173">
        <v>113</v>
      </c>
      <c r="M86" s="173">
        <v>113</v>
      </c>
      <c r="N86" s="173">
        <v>114</v>
      </c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8"/>
      <c r="AE86" s="8"/>
      <c r="AF86" s="8"/>
      <c r="AG86" s="7"/>
      <c r="AH86" s="7"/>
      <c r="AI86" s="7"/>
      <c r="AJ86" s="7"/>
    </row>
    <row r="87" spans="1:36" ht="15.75" customHeight="1">
      <c r="A87" s="336" t="s">
        <v>157</v>
      </c>
      <c r="B87" s="337"/>
      <c r="C87" s="337"/>
      <c r="D87" s="338"/>
      <c r="E87" s="206">
        <f>E89+E96+E104+E108+E119</f>
        <v>18.608999999999998</v>
      </c>
      <c r="F87" s="206">
        <f aca="true" t="shared" si="22" ref="F87:AC87">F89+F96+F104+F108+F119</f>
        <v>20.788253323</v>
      </c>
      <c r="G87" s="206">
        <f t="shared" si="22"/>
        <v>24.51971493608748</v>
      </c>
      <c r="H87" s="206">
        <f t="shared" si="22"/>
        <v>28.008374492433752</v>
      </c>
      <c r="I87" s="206">
        <f t="shared" si="22"/>
        <v>31.39946786199578</v>
      </c>
      <c r="J87" s="206">
        <f t="shared" si="22"/>
        <v>18.608999999999998</v>
      </c>
      <c r="K87" s="206">
        <f t="shared" si="22"/>
        <v>20.788253323</v>
      </c>
      <c r="L87" s="206">
        <f t="shared" si="22"/>
        <v>24.51971493608748</v>
      </c>
      <c r="M87" s="206">
        <f t="shared" si="22"/>
        <v>28.008374492433752</v>
      </c>
      <c r="N87" s="206">
        <f t="shared" si="22"/>
        <v>31.39946786199578</v>
      </c>
      <c r="O87" s="174">
        <f t="shared" si="22"/>
        <v>2.431</v>
      </c>
      <c r="P87" s="174">
        <f t="shared" si="22"/>
        <v>3.103</v>
      </c>
      <c r="Q87" s="174">
        <f t="shared" si="22"/>
        <v>3.8775000000000004</v>
      </c>
      <c r="R87" s="174">
        <f t="shared" si="22"/>
        <v>4.698125</v>
      </c>
      <c r="S87" s="174">
        <f t="shared" si="22"/>
        <v>5.63318125</v>
      </c>
      <c r="T87" s="174">
        <f t="shared" si="22"/>
        <v>45</v>
      </c>
      <c r="U87" s="174">
        <f t="shared" si="22"/>
        <v>47</v>
      </c>
      <c r="V87" s="174">
        <f t="shared" si="22"/>
        <v>48</v>
      </c>
      <c r="W87" s="174">
        <f t="shared" si="22"/>
        <v>50</v>
      </c>
      <c r="X87" s="174">
        <f t="shared" si="22"/>
        <v>50</v>
      </c>
      <c r="Y87" s="174">
        <f t="shared" si="22"/>
        <v>2.7419999999999995</v>
      </c>
      <c r="Z87" s="174">
        <f t="shared" si="22"/>
        <v>3.102</v>
      </c>
      <c r="AA87" s="174">
        <f t="shared" si="22"/>
        <v>3.4025</v>
      </c>
      <c r="AB87" s="174">
        <f t="shared" si="22"/>
        <v>3.81625</v>
      </c>
      <c r="AC87" s="174">
        <f t="shared" si="22"/>
        <v>4.1388750000000005</v>
      </c>
      <c r="AD87" s="8"/>
      <c r="AE87" s="8"/>
      <c r="AF87" s="8"/>
      <c r="AG87" s="7"/>
      <c r="AH87" s="7"/>
      <c r="AI87" s="7"/>
      <c r="AJ87" s="7"/>
    </row>
    <row r="88" spans="1:36" ht="15.75" customHeight="1">
      <c r="A88" s="59"/>
      <c r="B88" s="364" t="s">
        <v>190</v>
      </c>
      <c r="C88" s="364"/>
      <c r="D88" s="365"/>
      <c r="E88" s="208"/>
      <c r="F88" s="209"/>
      <c r="G88" s="203"/>
      <c r="H88" s="207"/>
      <c r="I88" s="203"/>
      <c r="J88" s="210"/>
      <c r="K88" s="206"/>
      <c r="L88" s="207"/>
      <c r="M88" s="203"/>
      <c r="N88" s="207"/>
      <c r="O88" s="174"/>
      <c r="P88" s="206"/>
      <c r="Q88" s="206"/>
      <c r="R88" s="206"/>
      <c r="S88" s="206"/>
      <c r="T88" s="167"/>
      <c r="U88" s="167"/>
      <c r="V88" s="167"/>
      <c r="W88" s="167"/>
      <c r="X88" s="167"/>
      <c r="Y88" s="174"/>
      <c r="Z88" s="174"/>
      <c r="AA88" s="174"/>
      <c r="AB88" s="174"/>
      <c r="AC88" s="174"/>
      <c r="AD88" s="8"/>
      <c r="AE88" s="8"/>
      <c r="AF88" s="8"/>
      <c r="AG88" s="7"/>
      <c r="AH88" s="7"/>
      <c r="AI88" s="7"/>
      <c r="AJ88" s="7"/>
    </row>
    <row r="89" spans="1:36" ht="36.75" customHeight="1">
      <c r="A89" s="300" t="s">
        <v>109</v>
      </c>
      <c r="B89" s="301"/>
      <c r="C89" s="301"/>
      <c r="D89" s="302"/>
      <c r="E89" s="208">
        <f>E90+E91+E92</f>
        <v>3.422</v>
      </c>
      <c r="F89" s="216">
        <f aca="true" t="shared" si="23" ref="F89:AC89">F90+F91+F92</f>
        <v>3.77405392</v>
      </c>
      <c r="G89" s="216">
        <f t="shared" si="23"/>
        <v>4.41195217990765</v>
      </c>
      <c r="H89" s="216">
        <f t="shared" si="23"/>
        <v>4.833757125027707</v>
      </c>
      <c r="I89" s="216">
        <f t="shared" si="23"/>
        <v>5.223223481047648</v>
      </c>
      <c r="J89" s="216">
        <f t="shared" si="23"/>
        <v>3.422</v>
      </c>
      <c r="K89" s="216">
        <f t="shared" si="23"/>
        <v>3.77405392</v>
      </c>
      <c r="L89" s="216">
        <f t="shared" si="23"/>
        <v>4.41195217990765</v>
      </c>
      <c r="M89" s="216">
        <f t="shared" si="23"/>
        <v>4.833757125027707</v>
      </c>
      <c r="N89" s="216">
        <f t="shared" si="23"/>
        <v>5.223223481047648</v>
      </c>
      <c r="O89" s="208">
        <f t="shared" si="23"/>
        <v>0.5409999999999999</v>
      </c>
      <c r="P89" s="208">
        <f t="shared" si="23"/>
        <v>0.581</v>
      </c>
      <c r="Q89" s="208">
        <f t="shared" si="23"/>
        <v>0.585</v>
      </c>
      <c r="R89" s="208">
        <f t="shared" si="23"/>
        <v>0.69</v>
      </c>
      <c r="S89" s="208">
        <f t="shared" si="23"/>
        <v>0.79</v>
      </c>
      <c r="T89" s="208">
        <f t="shared" si="23"/>
        <v>8</v>
      </c>
      <c r="U89" s="208">
        <f t="shared" si="23"/>
        <v>8</v>
      </c>
      <c r="V89" s="208">
        <f t="shared" si="23"/>
        <v>8</v>
      </c>
      <c r="W89" s="208">
        <f t="shared" si="23"/>
        <v>8</v>
      </c>
      <c r="X89" s="208">
        <f t="shared" si="23"/>
        <v>8</v>
      </c>
      <c r="Y89" s="208">
        <f t="shared" si="23"/>
        <v>1.201</v>
      </c>
      <c r="Z89" s="208">
        <f t="shared" si="23"/>
        <v>1.322</v>
      </c>
      <c r="AA89" s="208">
        <f t="shared" si="23"/>
        <v>1.4999999999999998</v>
      </c>
      <c r="AB89" s="208">
        <f t="shared" si="23"/>
        <v>1.5199999999999998</v>
      </c>
      <c r="AC89" s="208">
        <f t="shared" si="23"/>
        <v>1.65</v>
      </c>
      <c r="AD89" s="8"/>
      <c r="AE89" s="8"/>
      <c r="AF89" s="8"/>
      <c r="AG89" s="7"/>
      <c r="AH89" s="7"/>
      <c r="AI89" s="7"/>
      <c r="AJ89" s="7"/>
    </row>
    <row r="90" spans="1:36" ht="15.75" customHeight="1">
      <c r="A90" s="303" t="s">
        <v>191</v>
      </c>
      <c r="B90" s="304"/>
      <c r="C90" s="304"/>
      <c r="D90" s="305"/>
      <c r="E90" s="208">
        <v>0.787</v>
      </c>
      <c r="F90" s="200">
        <f>E90*1.003*1.099</f>
        <v>0.867507739</v>
      </c>
      <c r="G90" s="200">
        <f>F90*1.005*1.151</f>
        <v>1.0034939146269448</v>
      </c>
      <c r="H90" s="200">
        <f>G90*1.005*1.093</f>
        <v>1.1023029429306868</v>
      </c>
      <c r="I90" s="200">
        <f>H90*1.005*1.078</f>
        <v>1.1942239853416767</v>
      </c>
      <c r="J90" s="208">
        <v>0.787</v>
      </c>
      <c r="K90" s="200">
        <f>J90*1.003*1.099</f>
        <v>0.867507739</v>
      </c>
      <c r="L90" s="200">
        <f>K90*1.005*1.151</f>
        <v>1.0034939146269448</v>
      </c>
      <c r="M90" s="200">
        <f>L90*1.005*1.093</f>
        <v>1.1023029429306868</v>
      </c>
      <c r="N90" s="200">
        <f>M90*1.005*1.078</f>
        <v>1.1942239853416767</v>
      </c>
      <c r="O90" s="168">
        <v>0.157</v>
      </c>
      <c r="P90" s="203">
        <v>0.16</v>
      </c>
      <c r="Q90" s="203">
        <v>0.165</v>
      </c>
      <c r="R90" s="203">
        <v>0.17</v>
      </c>
      <c r="S90" s="203">
        <v>0.17</v>
      </c>
      <c r="T90" s="167">
        <v>2</v>
      </c>
      <c r="U90" s="167">
        <v>2</v>
      </c>
      <c r="V90" s="167">
        <v>2</v>
      </c>
      <c r="W90" s="167">
        <v>2</v>
      </c>
      <c r="X90" s="167">
        <v>2</v>
      </c>
      <c r="Y90" s="168">
        <v>0.82</v>
      </c>
      <c r="Z90" s="168">
        <v>0.9</v>
      </c>
      <c r="AA90" s="168">
        <v>0.95</v>
      </c>
      <c r="AB90" s="168">
        <v>0.95</v>
      </c>
      <c r="AC90" s="168">
        <v>1</v>
      </c>
      <c r="AD90" s="8"/>
      <c r="AE90" s="8"/>
      <c r="AF90" s="8"/>
      <c r="AG90" s="7"/>
      <c r="AH90" s="7"/>
      <c r="AI90" s="7"/>
      <c r="AJ90" s="7"/>
    </row>
    <row r="91" spans="1:36" ht="15.75" customHeight="1">
      <c r="A91" s="285" t="s">
        <v>192</v>
      </c>
      <c r="B91" s="286"/>
      <c r="C91" s="286"/>
      <c r="D91" s="287"/>
      <c r="E91" s="208">
        <v>0.821</v>
      </c>
      <c r="F91" s="200">
        <f>E91*1.003*1.099</f>
        <v>0.9049858369999998</v>
      </c>
      <c r="G91" s="200">
        <f>F91*1.003*1.151</f>
        <v>1.0447636144821606</v>
      </c>
      <c r="H91" s="200">
        <f>G91*1.003*1.093</f>
        <v>1.1453524105208883</v>
      </c>
      <c r="I91" s="200">
        <f>H91*1.003*1.078</f>
        <v>1.238393968237142</v>
      </c>
      <c r="J91" s="208">
        <v>0.821</v>
      </c>
      <c r="K91" s="200">
        <f>J91*1.003*1.099</f>
        <v>0.9049858369999998</v>
      </c>
      <c r="L91" s="200">
        <f>K91*1.003*1.151</f>
        <v>1.0447636144821606</v>
      </c>
      <c r="M91" s="200">
        <f>L91*1.003*1.093</f>
        <v>1.1453524105208883</v>
      </c>
      <c r="N91" s="200">
        <f>M91*1.003*1.078</f>
        <v>1.238393968237142</v>
      </c>
      <c r="O91" s="168">
        <v>0.021</v>
      </c>
      <c r="P91" s="203">
        <v>0.021</v>
      </c>
      <c r="Q91" s="203">
        <v>0.02</v>
      </c>
      <c r="R91" s="203">
        <v>0.02</v>
      </c>
      <c r="S91" s="203">
        <v>0.02</v>
      </c>
      <c r="T91" s="167">
        <v>3</v>
      </c>
      <c r="U91" s="167">
        <v>3</v>
      </c>
      <c r="V91" s="167">
        <v>3</v>
      </c>
      <c r="W91" s="167">
        <v>3</v>
      </c>
      <c r="X91" s="167">
        <v>3</v>
      </c>
      <c r="Y91" s="168">
        <v>0.259</v>
      </c>
      <c r="Z91" s="168">
        <v>0.3</v>
      </c>
      <c r="AA91" s="168">
        <v>0.35</v>
      </c>
      <c r="AB91" s="168">
        <v>0.37</v>
      </c>
      <c r="AC91" s="168">
        <v>0.4</v>
      </c>
      <c r="AD91" s="8"/>
      <c r="AE91" s="8"/>
      <c r="AF91" s="8"/>
      <c r="AG91" s="7"/>
      <c r="AH91" s="7"/>
      <c r="AI91" s="7"/>
      <c r="AJ91" s="7"/>
    </row>
    <row r="92" spans="1:36" ht="15.75" customHeight="1">
      <c r="A92" s="285" t="s">
        <v>193</v>
      </c>
      <c r="B92" s="286"/>
      <c r="C92" s="286"/>
      <c r="D92" s="287"/>
      <c r="E92" s="208">
        <v>1.814</v>
      </c>
      <c r="F92" s="200">
        <f>E92*1.004*1.099</f>
        <v>2.001560344</v>
      </c>
      <c r="G92" s="200">
        <f>F92*1.026*1.151</f>
        <v>2.3636946507985446</v>
      </c>
      <c r="H92" s="200">
        <f>G92*1.001*1.093</f>
        <v>2.5861017715761316</v>
      </c>
      <c r="I92" s="200">
        <f>H92*1.001*1.078</f>
        <v>2.790605527468829</v>
      </c>
      <c r="J92" s="208">
        <v>1.814</v>
      </c>
      <c r="K92" s="200">
        <f>J92*1.004*1.099</f>
        <v>2.001560344</v>
      </c>
      <c r="L92" s="200">
        <f>K92*1.026*1.151</f>
        <v>2.3636946507985446</v>
      </c>
      <c r="M92" s="200">
        <f>L92*1.001*1.093</f>
        <v>2.5861017715761316</v>
      </c>
      <c r="N92" s="200">
        <f>M92*1.001*1.078</f>
        <v>2.790605527468829</v>
      </c>
      <c r="O92" s="168">
        <v>0.363</v>
      </c>
      <c r="P92" s="203">
        <v>0.4</v>
      </c>
      <c r="Q92" s="203">
        <v>0.4</v>
      </c>
      <c r="R92" s="203">
        <v>0.5</v>
      </c>
      <c r="S92" s="203">
        <v>0.6</v>
      </c>
      <c r="T92" s="167">
        <v>3</v>
      </c>
      <c r="U92" s="167">
        <v>3</v>
      </c>
      <c r="V92" s="167">
        <v>3</v>
      </c>
      <c r="W92" s="167">
        <v>3</v>
      </c>
      <c r="X92" s="167">
        <v>3</v>
      </c>
      <c r="Y92" s="168">
        <v>0.122</v>
      </c>
      <c r="Z92" s="168">
        <v>0.122</v>
      </c>
      <c r="AA92" s="168">
        <v>0.2</v>
      </c>
      <c r="AB92" s="168">
        <v>0.2</v>
      </c>
      <c r="AC92" s="168">
        <v>0.25</v>
      </c>
      <c r="AD92" s="8"/>
      <c r="AE92" s="8"/>
      <c r="AF92" s="8"/>
      <c r="AG92" s="7"/>
      <c r="AH92" s="7"/>
      <c r="AI92" s="7"/>
      <c r="AJ92" s="7"/>
    </row>
    <row r="93" spans="1:36" ht="15.75" customHeight="1">
      <c r="A93" s="297"/>
      <c r="B93" s="298"/>
      <c r="C93" s="298"/>
      <c r="D93" s="299"/>
      <c r="E93" s="208"/>
      <c r="F93" s="209"/>
      <c r="G93" s="203"/>
      <c r="H93" s="207"/>
      <c r="I93" s="203"/>
      <c r="J93" s="211"/>
      <c r="K93" s="203"/>
      <c r="L93" s="207"/>
      <c r="M93" s="203"/>
      <c r="N93" s="207"/>
      <c r="O93" s="168"/>
      <c r="P93" s="203"/>
      <c r="Q93" s="203"/>
      <c r="R93" s="203"/>
      <c r="S93" s="203"/>
      <c r="T93" s="167"/>
      <c r="U93" s="167"/>
      <c r="V93" s="167"/>
      <c r="W93" s="167"/>
      <c r="X93" s="167"/>
      <c r="Y93" s="168"/>
      <c r="Z93" s="168"/>
      <c r="AA93" s="168"/>
      <c r="AB93" s="168"/>
      <c r="AC93" s="168"/>
      <c r="AD93" s="8"/>
      <c r="AE93" s="8"/>
      <c r="AF93" s="8"/>
      <c r="AG93" s="7"/>
      <c r="AH93" s="7"/>
      <c r="AI93" s="7"/>
      <c r="AJ93" s="7"/>
    </row>
    <row r="94" spans="1:36" ht="15.75" customHeight="1">
      <c r="A94" s="280" t="s">
        <v>225</v>
      </c>
      <c r="B94" s="280"/>
      <c r="C94" s="280"/>
      <c r="D94" s="281"/>
      <c r="E94" s="208"/>
      <c r="F94" s="228">
        <v>109.9</v>
      </c>
      <c r="G94" s="228">
        <v>115.1</v>
      </c>
      <c r="H94" s="228">
        <v>109.3</v>
      </c>
      <c r="I94" s="228">
        <v>107.8</v>
      </c>
      <c r="J94" s="228"/>
      <c r="K94" s="228">
        <v>109.9</v>
      </c>
      <c r="L94" s="228">
        <v>115.1</v>
      </c>
      <c r="M94" s="228">
        <v>109.3</v>
      </c>
      <c r="N94" s="228">
        <v>107.8</v>
      </c>
      <c r="O94" s="168"/>
      <c r="P94" s="203"/>
      <c r="Q94" s="203"/>
      <c r="R94" s="203"/>
      <c r="S94" s="203"/>
      <c r="T94" s="167"/>
      <c r="U94" s="167"/>
      <c r="V94" s="167"/>
      <c r="W94" s="167"/>
      <c r="X94" s="167"/>
      <c r="Y94" s="168"/>
      <c r="Z94" s="168"/>
      <c r="AA94" s="168"/>
      <c r="AB94" s="168"/>
      <c r="AC94" s="168"/>
      <c r="AD94" s="8"/>
      <c r="AE94" s="8"/>
      <c r="AF94" s="8"/>
      <c r="AG94" s="7"/>
      <c r="AH94" s="7"/>
      <c r="AI94" s="7"/>
      <c r="AJ94" s="7"/>
    </row>
    <row r="95" spans="1:36" ht="15.75" customHeight="1">
      <c r="A95" s="275" t="s">
        <v>226</v>
      </c>
      <c r="B95" s="275"/>
      <c r="C95" s="275"/>
      <c r="D95" s="276"/>
      <c r="E95" s="208"/>
      <c r="F95" s="229">
        <v>102.4</v>
      </c>
      <c r="G95" s="229">
        <v>101.9</v>
      </c>
      <c r="H95" s="229">
        <v>101.4</v>
      </c>
      <c r="I95" s="229">
        <v>101.4</v>
      </c>
      <c r="J95" s="229"/>
      <c r="K95" s="229">
        <v>102.4</v>
      </c>
      <c r="L95" s="229">
        <v>101.9</v>
      </c>
      <c r="M95" s="229">
        <v>101.4</v>
      </c>
      <c r="N95" s="229">
        <v>101.4</v>
      </c>
      <c r="O95" s="168"/>
      <c r="P95" s="203"/>
      <c r="Q95" s="203"/>
      <c r="R95" s="203"/>
      <c r="S95" s="203"/>
      <c r="T95" s="167"/>
      <c r="U95" s="167"/>
      <c r="V95" s="167"/>
      <c r="W95" s="167"/>
      <c r="X95" s="167"/>
      <c r="Y95" s="168"/>
      <c r="Z95" s="168"/>
      <c r="AA95" s="168"/>
      <c r="AB95" s="168"/>
      <c r="AC95" s="168"/>
      <c r="AD95" s="8"/>
      <c r="AE95" s="8"/>
      <c r="AF95" s="8"/>
      <c r="AG95" s="7"/>
      <c r="AH95" s="7"/>
      <c r="AI95" s="7"/>
      <c r="AJ95" s="7"/>
    </row>
    <row r="96" spans="1:36" ht="30" customHeight="1">
      <c r="A96" s="291" t="s">
        <v>110</v>
      </c>
      <c r="B96" s="292"/>
      <c r="C96" s="292"/>
      <c r="D96" s="293"/>
      <c r="E96" s="208">
        <f>E97+E98+E99</f>
        <v>5.457</v>
      </c>
      <c r="F96" s="216">
        <f aca="true" t="shared" si="24" ref="F96:AC96">F97+F98+F99</f>
        <v>5.951360018999999</v>
      </c>
      <c r="G96" s="216">
        <f t="shared" si="24"/>
        <v>6.384189138143274</v>
      </c>
      <c r="H96" s="216">
        <f t="shared" si="24"/>
        <v>7.330147298382357</v>
      </c>
      <c r="I96" s="216">
        <f t="shared" si="24"/>
        <v>8.093741555466112</v>
      </c>
      <c r="J96" s="208">
        <f t="shared" si="24"/>
        <v>5.457</v>
      </c>
      <c r="K96" s="216">
        <f t="shared" si="24"/>
        <v>5.951360018999999</v>
      </c>
      <c r="L96" s="216">
        <f t="shared" si="24"/>
        <v>6.384189138143274</v>
      </c>
      <c r="M96" s="216">
        <f t="shared" si="24"/>
        <v>7.330147298382357</v>
      </c>
      <c r="N96" s="216">
        <f t="shared" si="24"/>
        <v>8.093741555466112</v>
      </c>
      <c r="O96" s="208">
        <f t="shared" si="24"/>
        <v>0.9349999999999999</v>
      </c>
      <c r="P96" s="208">
        <f t="shared" si="24"/>
        <v>0.99</v>
      </c>
      <c r="Q96" s="208">
        <f t="shared" si="24"/>
        <v>1.27</v>
      </c>
      <c r="R96" s="208">
        <f t="shared" si="24"/>
        <v>1.4</v>
      </c>
      <c r="S96" s="208">
        <f t="shared" si="24"/>
        <v>1.5099999999999998</v>
      </c>
      <c r="T96" s="208">
        <f t="shared" si="24"/>
        <v>13</v>
      </c>
      <c r="U96" s="208">
        <f t="shared" si="24"/>
        <v>13</v>
      </c>
      <c r="V96" s="208">
        <f t="shared" si="24"/>
        <v>13</v>
      </c>
      <c r="W96" s="208">
        <f t="shared" si="24"/>
        <v>13</v>
      </c>
      <c r="X96" s="208">
        <f t="shared" si="24"/>
        <v>13</v>
      </c>
      <c r="Y96" s="208">
        <f t="shared" si="24"/>
        <v>0.33199999999999996</v>
      </c>
      <c r="Z96" s="208">
        <f t="shared" si="24"/>
        <v>0.4</v>
      </c>
      <c r="AA96" s="208">
        <f t="shared" si="24"/>
        <v>0.43500000000000005</v>
      </c>
      <c r="AB96" s="208">
        <f t="shared" si="24"/>
        <v>0.51</v>
      </c>
      <c r="AC96" s="208">
        <f t="shared" si="24"/>
        <v>0.5800000000000001</v>
      </c>
      <c r="AD96" s="8"/>
      <c r="AE96" s="8"/>
      <c r="AF96" s="8"/>
      <c r="AG96" s="7"/>
      <c r="AH96" s="7"/>
      <c r="AI96" s="7"/>
      <c r="AJ96" s="7"/>
    </row>
    <row r="97" spans="1:36" ht="15.75" customHeight="1">
      <c r="A97" s="285" t="s">
        <v>194</v>
      </c>
      <c r="B97" s="286"/>
      <c r="C97" s="286"/>
      <c r="D97" s="287"/>
      <c r="E97" s="208">
        <v>3.147</v>
      </c>
      <c r="F97" s="216">
        <f>E97*1.027*1.051</f>
        <v>3.3967994189999993</v>
      </c>
      <c r="G97" s="216">
        <f>F97*1.004*1.051</f>
        <v>3.5843163341264748</v>
      </c>
      <c r="H97" s="216">
        <f>G97*1.04*1.061</f>
        <v>3.9550780157285175</v>
      </c>
      <c r="I97" s="216">
        <f>H97*1.058*1.063</f>
        <v>4.44809431070114</v>
      </c>
      <c r="J97" s="208">
        <v>3.147</v>
      </c>
      <c r="K97" s="216">
        <f>J97*1.027*1.051</f>
        <v>3.3967994189999993</v>
      </c>
      <c r="L97" s="216">
        <f>K97*1.004*1.051</f>
        <v>3.5843163341264748</v>
      </c>
      <c r="M97" s="216">
        <f>L97*1.04*1.061</f>
        <v>3.9550780157285175</v>
      </c>
      <c r="N97" s="216">
        <f>M97*1.058*1.063</f>
        <v>4.44809431070114</v>
      </c>
      <c r="O97" s="168">
        <v>0.185</v>
      </c>
      <c r="P97" s="203">
        <v>0.2</v>
      </c>
      <c r="Q97" s="203">
        <v>0.29</v>
      </c>
      <c r="R97" s="203">
        <v>0.31</v>
      </c>
      <c r="S97" s="203">
        <v>0.35</v>
      </c>
      <c r="T97" s="167">
        <v>7</v>
      </c>
      <c r="U97" s="167">
        <v>7</v>
      </c>
      <c r="V97" s="167">
        <v>7</v>
      </c>
      <c r="W97" s="167">
        <v>7</v>
      </c>
      <c r="X97" s="167">
        <v>7</v>
      </c>
      <c r="Y97" s="168">
        <v>0.116</v>
      </c>
      <c r="Z97" s="168">
        <v>0.15</v>
      </c>
      <c r="AA97" s="168">
        <f>Z97*1.1</f>
        <v>0.165</v>
      </c>
      <c r="AB97" s="168">
        <v>0.18</v>
      </c>
      <c r="AC97" s="168">
        <v>0.2</v>
      </c>
      <c r="AD97" s="8"/>
      <c r="AE97" s="8"/>
      <c r="AF97" s="8"/>
      <c r="AG97" s="7"/>
      <c r="AH97" s="7"/>
      <c r="AI97" s="7"/>
      <c r="AJ97" s="7"/>
    </row>
    <row r="98" spans="1:36" ht="15.75" customHeight="1">
      <c r="A98" s="285" t="s">
        <v>195</v>
      </c>
      <c r="B98" s="286"/>
      <c r="C98" s="286"/>
      <c r="D98" s="287"/>
      <c r="E98" s="208">
        <v>0.67</v>
      </c>
      <c r="F98" s="216">
        <f>E98*1.18*1.051</f>
        <v>0.8309205999999999</v>
      </c>
      <c r="G98" s="216">
        <f>F98*1.028*1.051</f>
        <v>0.8977498820167998</v>
      </c>
      <c r="H98" s="216">
        <f>G98*1.022*1.061</f>
        <v>0.9734679025658608</v>
      </c>
      <c r="I98" s="216">
        <f>H98*1.056*1.063</f>
        <v>1.0927449777314506</v>
      </c>
      <c r="J98" s="208">
        <v>0.67</v>
      </c>
      <c r="K98" s="216">
        <f>J98*1.18*1.051</f>
        <v>0.8309205999999999</v>
      </c>
      <c r="L98" s="216">
        <f>K98*1.028*1.051</f>
        <v>0.8977498820167998</v>
      </c>
      <c r="M98" s="216">
        <f>L98*1.022*1.061</f>
        <v>0.9734679025658608</v>
      </c>
      <c r="N98" s="216">
        <f>M98*1.056*1.063</f>
        <v>1.0927449777314506</v>
      </c>
      <c r="O98" s="168">
        <v>0.15</v>
      </c>
      <c r="P98" s="203">
        <v>0.19</v>
      </c>
      <c r="Q98" s="203">
        <v>0.23</v>
      </c>
      <c r="R98" s="203">
        <v>0.29</v>
      </c>
      <c r="S98" s="203">
        <v>0.3</v>
      </c>
      <c r="T98" s="167">
        <v>2</v>
      </c>
      <c r="U98" s="167">
        <v>2</v>
      </c>
      <c r="V98" s="167">
        <v>2</v>
      </c>
      <c r="W98" s="167">
        <v>2</v>
      </c>
      <c r="X98" s="167">
        <v>2</v>
      </c>
      <c r="Y98" s="168">
        <v>0.072</v>
      </c>
      <c r="Z98" s="168">
        <v>0.1</v>
      </c>
      <c r="AA98" s="168">
        <f>Z98*1.1</f>
        <v>0.11000000000000001</v>
      </c>
      <c r="AB98" s="168">
        <v>0.15</v>
      </c>
      <c r="AC98" s="168">
        <v>0.18</v>
      </c>
      <c r="AD98" s="8"/>
      <c r="AE98" s="8"/>
      <c r="AF98" s="8"/>
      <c r="AG98" s="7"/>
      <c r="AH98" s="7"/>
      <c r="AI98" s="7"/>
      <c r="AJ98" s="7"/>
    </row>
    <row r="99" spans="1:36" ht="15.75" customHeight="1">
      <c r="A99" s="285" t="s">
        <v>196</v>
      </c>
      <c r="B99" s="286"/>
      <c r="C99" s="286"/>
      <c r="D99" s="287"/>
      <c r="E99" s="208">
        <v>1.64</v>
      </c>
      <c r="F99" s="216">
        <f>E99*1*1.051</f>
        <v>1.7236399999999998</v>
      </c>
      <c r="G99" s="216">
        <f>F99*1.05*1.051</f>
        <v>1.9021229219999998</v>
      </c>
      <c r="H99" s="216">
        <f>G99*1.19*1.061</f>
        <v>2.401601380087979</v>
      </c>
      <c r="I99" s="216">
        <f>H99*1*1.063</f>
        <v>2.552902267033522</v>
      </c>
      <c r="J99" s="208">
        <v>1.64</v>
      </c>
      <c r="K99" s="216">
        <f>J99*1*1.051</f>
        <v>1.7236399999999998</v>
      </c>
      <c r="L99" s="216">
        <f>K99*1.05*1.051</f>
        <v>1.9021229219999998</v>
      </c>
      <c r="M99" s="216">
        <f>L99*1.19*1.061</f>
        <v>2.401601380087979</v>
      </c>
      <c r="N99" s="216">
        <f>M99*1*1.063</f>
        <v>2.552902267033522</v>
      </c>
      <c r="O99" s="168">
        <v>0.6</v>
      </c>
      <c r="P99" s="203">
        <v>0.6</v>
      </c>
      <c r="Q99" s="203">
        <v>0.75</v>
      </c>
      <c r="R99" s="203">
        <v>0.8</v>
      </c>
      <c r="S99" s="203">
        <v>0.86</v>
      </c>
      <c r="T99" s="167">
        <v>4</v>
      </c>
      <c r="U99" s="167">
        <v>4</v>
      </c>
      <c r="V99" s="167">
        <v>4</v>
      </c>
      <c r="W99" s="167">
        <v>4</v>
      </c>
      <c r="X99" s="167">
        <v>4</v>
      </c>
      <c r="Y99" s="168">
        <v>0.144</v>
      </c>
      <c r="Z99" s="168">
        <v>0.15</v>
      </c>
      <c r="AA99" s="168">
        <v>0.16</v>
      </c>
      <c r="AB99" s="168">
        <v>0.18</v>
      </c>
      <c r="AC99" s="168">
        <v>0.2</v>
      </c>
      <c r="AD99" s="8"/>
      <c r="AE99" s="8"/>
      <c r="AF99" s="8"/>
      <c r="AG99" s="7"/>
      <c r="AH99" s="7"/>
      <c r="AI99" s="7"/>
      <c r="AJ99" s="7"/>
    </row>
    <row r="100" spans="1:36" ht="15.75" customHeight="1">
      <c r="A100" s="297"/>
      <c r="B100" s="298"/>
      <c r="C100" s="298"/>
      <c r="D100" s="299"/>
      <c r="E100" s="208"/>
      <c r="F100" s="216"/>
      <c r="G100" s="216"/>
      <c r="H100" s="216"/>
      <c r="I100" s="216"/>
      <c r="J100" s="225"/>
      <c r="K100" s="209"/>
      <c r="L100" s="216"/>
      <c r="M100" s="216"/>
      <c r="N100" s="216"/>
      <c r="O100" s="168"/>
      <c r="P100" s="203"/>
      <c r="Q100" s="203"/>
      <c r="R100" s="203"/>
      <c r="S100" s="203"/>
      <c r="T100" s="167"/>
      <c r="U100" s="167"/>
      <c r="V100" s="167"/>
      <c r="W100" s="167"/>
      <c r="X100" s="167"/>
      <c r="Y100" s="168"/>
      <c r="Z100" s="168"/>
      <c r="AA100" s="168"/>
      <c r="AB100" s="168"/>
      <c r="AC100" s="168"/>
      <c r="AD100" s="8"/>
      <c r="AE100" s="8"/>
      <c r="AF100" s="8"/>
      <c r="AG100" s="7"/>
      <c r="AH100" s="7"/>
      <c r="AI100" s="7"/>
      <c r="AJ100" s="7"/>
    </row>
    <row r="101" spans="1:36" ht="15.75" customHeight="1">
      <c r="A101" s="280" t="s">
        <v>225</v>
      </c>
      <c r="B101" s="280"/>
      <c r="C101" s="280"/>
      <c r="D101" s="281"/>
      <c r="E101" s="208"/>
      <c r="F101" s="229">
        <v>105.1</v>
      </c>
      <c r="G101" s="229">
        <v>105.1</v>
      </c>
      <c r="H101" s="229">
        <v>106.1</v>
      </c>
      <c r="I101" s="229">
        <v>106.3</v>
      </c>
      <c r="J101" s="229"/>
      <c r="K101" s="229">
        <v>105.1</v>
      </c>
      <c r="L101" s="229">
        <v>105.1</v>
      </c>
      <c r="M101" s="229">
        <v>106.1</v>
      </c>
      <c r="N101" s="229">
        <v>106.3</v>
      </c>
      <c r="O101" s="168"/>
      <c r="P101" s="203"/>
      <c r="Q101" s="203"/>
      <c r="R101" s="203"/>
      <c r="S101" s="203"/>
      <c r="T101" s="167"/>
      <c r="U101" s="167"/>
      <c r="V101" s="167"/>
      <c r="W101" s="167"/>
      <c r="X101" s="167"/>
      <c r="Y101" s="168"/>
      <c r="Z101" s="168"/>
      <c r="AA101" s="168"/>
      <c r="AB101" s="168"/>
      <c r="AC101" s="168"/>
      <c r="AD101" s="8"/>
      <c r="AE101" s="8"/>
      <c r="AF101" s="8"/>
      <c r="AG101" s="7"/>
      <c r="AH101" s="7"/>
      <c r="AI101" s="7"/>
      <c r="AJ101" s="7"/>
    </row>
    <row r="102" spans="1:36" ht="15.75" customHeight="1">
      <c r="A102" s="275" t="s">
        <v>226</v>
      </c>
      <c r="B102" s="275"/>
      <c r="C102" s="275"/>
      <c r="D102" s="276"/>
      <c r="E102" s="172"/>
      <c r="F102" s="230">
        <v>109.2</v>
      </c>
      <c r="G102" s="230">
        <v>102.4</v>
      </c>
      <c r="H102" s="230">
        <v>107.6</v>
      </c>
      <c r="I102" s="230">
        <v>101.6</v>
      </c>
      <c r="J102" s="230"/>
      <c r="K102" s="230">
        <v>109.2</v>
      </c>
      <c r="L102" s="230">
        <v>102.4</v>
      </c>
      <c r="M102" s="230">
        <v>107.6</v>
      </c>
      <c r="N102" s="230">
        <v>101.6</v>
      </c>
      <c r="O102" s="168"/>
      <c r="P102" s="168"/>
      <c r="Q102" s="168"/>
      <c r="R102" s="168"/>
      <c r="S102" s="168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8"/>
      <c r="AE102" s="8"/>
      <c r="AF102" s="8"/>
      <c r="AG102" s="7"/>
      <c r="AH102" s="7"/>
      <c r="AI102" s="7"/>
      <c r="AJ102" s="7"/>
    </row>
    <row r="103" spans="1:36" ht="15.75">
      <c r="A103" s="351" t="s">
        <v>10</v>
      </c>
      <c r="B103" s="352"/>
      <c r="C103" s="352"/>
      <c r="D103" s="353"/>
      <c r="E103" s="175"/>
      <c r="F103" s="168"/>
      <c r="G103" s="168"/>
      <c r="H103" s="168"/>
      <c r="I103" s="168"/>
      <c r="J103" s="175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8"/>
      <c r="AE103" s="8"/>
      <c r="AF103" s="8"/>
      <c r="AG103" s="7"/>
      <c r="AH103" s="7"/>
      <c r="AI103" s="7"/>
      <c r="AJ103" s="7"/>
    </row>
    <row r="104" spans="1:36" ht="15.75">
      <c r="A104" s="285" t="s">
        <v>197</v>
      </c>
      <c r="B104" s="286"/>
      <c r="C104" s="286"/>
      <c r="D104" s="287"/>
      <c r="E104" s="176">
        <v>3.132</v>
      </c>
      <c r="F104" s="170">
        <v>3.132</v>
      </c>
      <c r="G104" s="200">
        <f>F104*1.04*1.034</f>
        <v>3.3680275200000005</v>
      </c>
      <c r="H104" s="200">
        <f>G104*1.056*1.055</f>
        <v>3.7522520994816007</v>
      </c>
      <c r="I104" s="200">
        <f>H104*1.074*1.064</f>
        <v>4.287833555153206</v>
      </c>
      <c r="J104" s="176">
        <v>3.132</v>
      </c>
      <c r="K104" s="170">
        <v>3.132</v>
      </c>
      <c r="L104" s="200">
        <f>K104*1.04*1.034</f>
        <v>3.3680275200000005</v>
      </c>
      <c r="M104" s="200">
        <f>L104*1.056*1.055</f>
        <v>3.7522520994816007</v>
      </c>
      <c r="N104" s="200">
        <f>M104*1.074*1.064</f>
        <v>4.287833555153206</v>
      </c>
      <c r="O104" s="170">
        <v>0</v>
      </c>
      <c r="P104" s="170">
        <v>0.1</v>
      </c>
      <c r="Q104" s="170">
        <v>0.2</v>
      </c>
      <c r="R104" s="170">
        <v>0.3</v>
      </c>
      <c r="S104" s="170">
        <v>0.5</v>
      </c>
      <c r="T104" s="170">
        <v>6</v>
      </c>
      <c r="U104" s="170">
        <v>6</v>
      </c>
      <c r="V104" s="170">
        <v>6</v>
      </c>
      <c r="W104" s="170">
        <v>6</v>
      </c>
      <c r="X104" s="170">
        <v>6</v>
      </c>
      <c r="Y104" s="170">
        <v>0.53</v>
      </c>
      <c r="Z104" s="170">
        <v>0.53</v>
      </c>
      <c r="AA104" s="201">
        <f>Z104*1.1</f>
        <v>0.5830000000000001</v>
      </c>
      <c r="AB104" s="201">
        <f>AA104*1.1</f>
        <v>0.6413000000000001</v>
      </c>
      <c r="AC104" s="201">
        <f>AB104*1.1</f>
        <v>0.7054300000000001</v>
      </c>
      <c r="AD104" s="212"/>
      <c r="AE104" s="212"/>
      <c r="AF104" s="212"/>
      <c r="AG104" s="29"/>
      <c r="AH104" s="29"/>
      <c r="AI104" s="29"/>
      <c r="AJ104" s="29"/>
    </row>
    <row r="105" spans="1:36" ht="15.75">
      <c r="A105" s="285"/>
      <c r="B105" s="286"/>
      <c r="C105" s="286"/>
      <c r="D105" s="287"/>
      <c r="E105" s="175"/>
      <c r="F105" s="168"/>
      <c r="G105" s="203"/>
      <c r="H105" s="203"/>
      <c r="I105" s="203"/>
      <c r="J105" s="175"/>
      <c r="K105" s="168"/>
      <c r="L105" s="203"/>
      <c r="M105" s="203"/>
      <c r="N105" s="203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203"/>
      <c r="AB105" s="203"/>
      <c r="AC105" s="203"/>
      <c r="AD105" s="212"/>
      <c r="AE105" s="212"/>
      <c r="AF105" s="212"/>
      <c r="AG105" s="29"/>
      <c r="AH105" s="29"/>
      <c r="AI105" s="29"/>
      <c r="AJ105" s="29"/>
    </row>
    <row r="106" spans="1:36" ht="15.75">
      <c r="A106" s="280" t="s">
        <v>225</v>
      </c>
      <c r="B106" s="280"/>
      <c r="C106" s="280"/>
      <c r="D106" s="281"/>
      <c r="E106" s="175"/>
      <c r="F106" s="168"/>
      <c r="G106" s="200">
        <v>104</v>
      </c>
      <c r="H106" s="200">
        <v>105.6</v>
      </c>
      <c r="I106" s="200">
        <v>107.4</v>
      </c>
      <c r="J106" s="175"/>
      <c r="K106" s="168"/>
      <c r="L106" s="200">
        <v>104</v>
      </c>
      <c r="M106" s="200">
        <v>105.6</v>
      </c>
      <c r="N106" s="200">
        <v>107.4</v>
      </c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203"/>
      <c r="AB106" s="203"/>
      <c r="AC106" s="203"/>
      <c r="AD106" s="212"/>
      <c r="AE106" s="212"/>
      <c r="AF106" s="212"/>
      <c r="AG106" s="29"/>
      <c r="AH106" s="29"/>
      <c r="AI106" s="29"/>
      <c r="AJ106" s="29"/>
    </row>
    <row r="107" spans="1:36" ht="15.75">
      <c r="A107" s="275" t="s">
        <v>226</v>
      </c>
      <c r="B107" s="275"/>
      <c r="C107" s="275"/>
      <c r="D107" s="276"/>
      <c r="E107" s="175"/>
      <c r="F107" s="168"/>
      <c r="G107" s="169">
        <v>103.4</v>
      </c>
      <c r="H107" s="169">
        <v>105.5</v>
      </c>
      <c r="I107" s="169">
        <v>106.4</v>
      </c>
      <c r="J107" s="168"/>
      <c r="K107" s="168"/>
      <c r="L107" s="169">
        <v>103.4</v>
      </c>
      <c r="M107" s="169">
        <v>105.5</v>
      </c>
      <c r="N107" s="169">
        <v>106.4</v>
      </c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212"/>
      <c r="AE107" s="212"/>
      <c r="AF107" s="212"/>
      <c r="AG107" s="29"/>
      <c r="AH107" s="29"/>
      <c r="AI107" s="29"/>
      <c r="AJ107" s="29"/>
    </row>
    <row r="108" spans="1:36" ht="15.75">
      <c r="A108" s="291" t="s">
        <v>11</v>
      </c>
      <c r="B108" s="292"/>
      <c r="C108" s="292"/>
      <c r="D108" s="293"/>
      <c r="E108" s="217">
        <f>E109+E110+E111+E112+E113+E114</f>
        <v>4.558</v>
      </c>
      <c r="F108" s="217">
        <f aca="true" t="shared" si="25" ref="F108:AC108">F109+F110+F111+F112+F113+F114</f>
        <v>4.948839384</v>
      </c>
      <c r="G108" s="217">
        <f t="shared" si="25"/>
        <v>5.941527076036559</v>
      </c>
      <c r="H108" s="217">
        <f t="shared" si="25"/>
        <v>6.796061266220441</v>
      </c>
      <c r="I108" s="217">
        <f t="shared" si="25"/>
        <v>7.527140760872838</v>
      </c>
      <c r="J108" s="217">
        <f t="shared" si="25"/>
        <v>4.558</v>
      </c>
      <c r="K108" s="217">
        <f>K109+K110+K111+K112+K113+K114</f>
        <v>4.948839384</v>
      </c>
      <c r="L108" s="217">
        <f>L109+L110+L111+L112+L113+L114</f>
        <v>5.941527076036559</v>
      </c>
      <c r="M108" s="217">
        <f>M109+M110+M111+M112+M113+M114</f>
        <v>6.796061266220441</v>
      </c>
      <c r="N108" s="217">
        <f>N109+N110+N111+N112+N113+N114</f>
        <v>7.527140760872838</v>
      </c>
      <c r="O108" s="217">
        <f t="shared" si="25"/>
        <v>0.505</v>
      </c>
      <c r="P108" s="217">
        <f t="shared" si="25"/>
        <v>0.832</v>
      </c>
      <c r="Q108" s="217">
        <f t="shared" si="25"/>
        <v>1.0225</v>
      </c>
      <c r="R108" s="217">
        <f t="shared" si="25"/>
        <v>1.2281250000000001</v>
      </c>
      <c r="S108" s="217">
        <f t="shared" si="25"/>
        <v>1.4831812500000001</v>
      </c>
      <c r="T108" s="175">
        <f t="shared" si="25"/>
        <v>10</v>
      </c>
      <c r="U108" s="175">
        <f t="shared" si="25"/>
        <v>12</v>
      </c>
      <c r="V108" s="175">
        <f t="shared" si="25"/>
        <v>13</v>
      </c>
      <c r="W108" s="175">
        <f t="shared" si="25"/>
        <v>15</v>
      </c>
      <c r="X108" s="175">
        <f t="shared" si="25"/>
        <v>15</v>
      </c>
      <c r="Y108" s="175">
        <f t="shared" si="25"/>
        <v>0.529</v>
      </c>
      <c r="Z108" s="175">
        <f t="shared" si="25"/>
        <v>0.56</v>
      </c>
      <c r="AA108" s="175">
        <f t="shared" si="25"/>
        <v>0.58</v>
      </c>
      <c r="AB108" s="175">
        <f t="shared" si="25"/>
        <v>0.8099999999999999</v>
      </c>
      <c r="AC108" s="217">
        <f t="shared" si="25"/>
        <v>0.8350000000000001</v>
      </c>
      <c r="AD108" s="212"/>
      <c r="AE108" s="212"/>
      <c r="AF108" s="212"/>
      <c r="AG108" s="29"/>
      <c r="AH108" s="29"/>
      <c r="AI108" s="29"/>
      <c r="AJ108" s="29"/>
    </row>
    <row r="109" spans="1:36" ht="15.75">
      <c r="A109" s="294" t="s">
        <v>198</v>
      </c>
      <c r="B109" s="295"/>
      <c r="C109" s="295"/>
      <c r="D109" s="296"/>
      <c r="E109" s="217">
        <v>1.331</v>
      </c>
      <c r="F109" s="203">
        <f aca="true" t="shared" si="26" ref="F109:F114">E109*1.046*1.038</f>
        <v>1.445130588</v>
      </c>
      <c r="G109" s="203">
        <f aca="true" t="shared" si="27" ref="G109:G114">F109*1.055*1.138</f>
        <v>1.7350093326469196</v>
      </c>
      <c r="H109" s="203">
        <f aca="true" t="shared" si="28" ref="H109:H114">G109*1.072*1.067</f>
        <v>1.98454531490553</v>
      </c>
      <c r="I109" s="203">
        <f aca="true" t="shared" si="29" ref="I109:I114">H109*1.039*1.066</f>
        <v>2.1980307926111773</v>
      </c>
      <c r="J109" s="217">
        <v>1.331</v>
      </c>
      <c r="K109" s="203">
        <f aca="true" t="shared" si="30" ref="K109:K114">J109*1.046*1.038</f>
        <v>1.445130588</v>
      </c>
      <c r="L109" s="203">
        <f aca="true" t="shared" si="31" ref="L109:L114">K109*1.055*1.138</f>
        <v>1.7350093326469196</v>
      </c>
      <c r="M109" s="203">
        <f aca="true" t="shared" si="32" ref="M109:M114">L109*1.072*1.067</f>
        <v>1.98454531490553</v>
      </c>
      <c r="N109" s="203">
        <f aca="true" t="shared" si="33" ref="N109:N114">M109*1.039*1.066</f>
        <v>2.1980307926111773</v>
      </c>
      <c r="O109" s="203">
        <v>0.041</v>
      </c>
      <c r="P109" s="203">
        <v>0.17</v>
      </c>
      <c r="Q109" s="203">
        <v>0.18</v>
      </c>
      <c r="R109" s="203">
        <v>0.2</v>
      </c>
      <c r="S109" s="203">
        <v>0.2</v>
      </c>
      <c r="T109" s="168">
        <v>1</v>
      </c>
      <c r="U109" s="168">
        <v>3</v>
      </c>
      <c r="V109" s="168">
        <v>4</v>
      </c>
      <c r="W109" s="168">
        <v>5</v>
      </c>
      <c r="X109" s="168">
        <v>5</v>
      </c>
      <c r="Y109" s="168">
        <v>0.05</v>
      </c>
      <c r="Z109" s="168">
        <v>0.06</v>
      </c>
      <c r="AA109" s="168">
        <v>0.06</v>
      </c>
      <c r="AB109" s="168">
        <v>0.07</v>
      </c>
      <c r="AC109" s="203">
        <v>0.075</v>
      </c>
      <c r="AD109" s="212"/>
      <c r="AE109" s="212"/>
      <c r="AF109" s="212"/>
      <c r="AG109" s="29"/>
      <c r="AH109" s="29"/>
      <c r="AI109" s="29"/>
      <c r="AJ109" s="29"/>
    </row>
    <row r="110" spans="1:36" ht="15.75">
      <c r="A110" s="294" t="s">
        <v>199</v>
      </c>
      <c r="B110" s="295"/>
      <c r="C110" s="295"/>
      <c r="D110" s="296"/>
      <c r="E110" s="217">
        <v>0.24</v>
      </c>
      <c r="F110" s="203">
        <f t="shared" si="26"/>
        <v>0.26057952</v>
      </c>
      <c r="G110" s="203">
        <f t="shared" si="27"/>
        <v>0.31284916591679995</v>
      </c>
      <c r="H110" s="203">
        <f t="shared" si="28"/>
        <v>0.35784438435561783</v>
      </c>
      <c r="I110" s="203">
        <f t="shared" si="29"/>
        <v>0.3963391361582891</v>
      </c>
      <c r="J110" s="217">
        <v>0.24</v>
      </c>
      <c r="K110" s="203">
        <f t="shared" si="30"/>
        <v>0.26057952</v>
      </c>
      <c r="L110" s="203">
        <f t="shared" si="31"/>
        <v>0.31284916591679995</v>
      </c>
      <c r="M110" s="203">
        <f t="shared" si="32"/>
        <v>0.35784438435561783</v>
      </c>
      <c r="N110" s="203">
        <f t="shared" si="33"/>
        <v>0.3963391361582891</v>
      </c>
      <c r="O110" s="203">
        <v>0.135</v>
      </c>
      <c r="P110" s="203">
        <v>0.2</v>
      </c>
      <c r="Q110" s="203">
        <v>0.23</v>
      </c>
      <c r="R110" s="203">
        <v>0.25</v>
      </c>
      <c r="S110" s="203">
        <v>0.36</v>
      </c>
      <c r="T110" s="168">
        <v>1</v>
      </c>
      <c r="U110" s="168">
        <v>1</v>
      </c>
      <c r="V110" s="168">
        <v>1</v>
      </c>
      <c r="W110" s="168">
        <v>1</v>
      </c>
      <c r="X110" s="168">
        <v>1</v>
      </c>
      <c r="Y110" s="168">
        <v>0.04</v>
      </c>
      <c r="Z110" s="168">
        <v>0.04</v>
      </c>
      <c r="AA110" s="168">
        <v>0.05</v>
      </c>
      <c r="AB110" s="168">
        <v>0.06</v>
      </c>
      <c r="AC110" s="168">
        <v>0.07</v>
      </c>
      <c r="AD110" s="212"/>
      <c r="AE110" s="212"/>
      <c r="AF110" s="212"/>
      <c r="AG110" s="29"/>
      <c r="AH110" s="29"/>
      <c r="AI110" s="29"/>
      <c r="AJ110" s="29"/>
    </row>
    <row r="111" spans="1:36" ht="15.75">
      <c r="A111" s="294" t="s">
        <v>200</v>
      </c>
      <c r="B111" s="295"/>
      <c r="C111" s="295"/>
      <c r="D111" s="296"/>
      <c r="E111" s="217">
        <v>0.163</v>
      </c>
      <c r="F111" s="203">
        <f t="shared" si="26"/>
        <v>0.176976924</v>
      </c>
      <c r="G111" s="203">
        <f t="shared" si="27"/>
        <v>0.21247672518515998</v>
      </c>
      <c r="H111" s="203">
        <f t="shared" si="28"/>
        <v>0.2430359777081904</v>
      </c>
      <c r="I111" s="203">
        <f t="shared" si="29"/>
        <v>0.2691803299741713</v>
      </c>
      <c r="J111" s="217">
        <v>0.163</v>
      </c>
      <c r="K111" s="203">
        <f t="shared" si="30"/>
        <v>0.176976924</v>
      </c>
      <c r="L111" s="203">
        <f t="shared" si="31"/>
        <v>0.21247672518515998</v>
      </c>
      <c r="M111" s="203">
        <f t="shared" si="32"/>
        <v>0.2430359777081904</v>
      </c>
      <c r="N111" s="203">
        <f t="shared" si="33"/>
        <v>0.2691803299741713</v>
      </c>
      <c r="O111" s="203">
        <v>0.009</v>
      </c>
      <c r="P111" s="203">
        <v>0.012</v>
      </c>
      <c r="Q111" s="203">
        <v>0.03</v>
      </c>
      <c r="R111" s="203">
        <v>0.06</v>
      </c>
      <c r="S111" s="203">
        <f>R111*1.1</f>
        <v>0.066</v>
      </c>
      <c r="T111" s="168">
        <v>1</v>
      </c>
      <c r="U111" s="168">
        <v>1</v>
      </c>
      <c r="V111" s="168">
        <v>1</v>
      </c>
      <c r="W111" s="168">
        <v>1</v>
      </c>
      <c r="X111" s="168">
        <v>1</v>
      </c>
      <c r="Y111" s="168">
        <v>0.048</v>
      </c>
      <c r="Z111" s="168">
        <v>0.05</v>
      </c>
      <c r="AA111" s="168">
        <v>0.06</v>
      </c>
      <c r="AB111" s="168">
        <v>0.07</v>
      </c>
      <c r="AC111" s="168">
        <v>0.08</v>
      </c>
      <c r="AD111" s="212"/>
      <c r="AE111" s="212"/>
      <c r="AF111" s="212"/>
      <c r="AG111" s="29"/>
      <c r="AH111" s="29"/>
      <c r="AI111" s="29"/>
      <c r="AJ111" s="29"/>
    </row>
    <row r="112" spans="1:36" ht="15.75">
      <c r="A112" s="288" t="s">
        <v>201</v>
      </c>
      <c r="B112" s="289"/>
      <c r="C112" s="289"/>
      <c r="D112" s="290"/>
      <c r="E112" s="217">
        <v>1.42</v>
      </c>
      <c r="F112" s="203">
        <f t="shared" si="26"/>
        <v>1.54176216</v>
      </c>
      <c r="G112" s="203">
        <f t="shared" si="27"/>
        <v>1.8510242316743997</v>
      </c>
      <c r="H112" s="203">
        <f t="shared" si="28"/>
        <v>2.1172459407707387</v>
      </c>
      <c r="I112" s="203">
        <f t="shared" si="29"/>
        <v>2.3450065556032103</v>
      </c>
      <c r="J112" s="217">
        <v>1.42</v>
      </c>
      <c r="K112" s="203">
        <f t="shared" si="30"/>
        <v>1.54176216</v>
      </c>
      <c r="L112" s="203">
        <f t="shared" si="31"/>
        <v>1.8510242316743997</v>
      </c>
      <c r="M112" s="203">
        <f t="shared" si="32"/>
        <v>2.1172459407707387</v>
      </c>
      <c r="N112" s="203">
        <f t="shared" si="33"/>
        <v>2.3450065556032103</v>
      </c>
      <c r="O112" s="203">
        <v>0.22</v>
      </c>
      <c r="P112" s="203">
        <v>0.3</v>
      </c>
      <c r="Q112" s="203">
        <f>P112*1.1</f>
        <v>0.33</v>
      </c>
      <c r="R112" s="203">
        <f>Q112*1.1</f>
        <v>0.36300000000000004</v>
      </c>
      <c r="S112" s="203">
        <f>R112*1.1</f>
        <v>0.3993000000000001</v>
      </c>
      <c r="T112" s="168">
        <v>3</v>
      </c>
      <c r="U112" s="168">
        <v>3</v>
      </c>
      <c r="V112" s="168">
        <v>3</v>
      </c>
      <c r="W112" s="168">
        <v>3</v>
      </c>
      <c r="X112" s="168">
        <v>3</v>
      </c>
      <c r="Y112" s="168">
        <v>0.108</v>
      </c>
      <c r="Z112" s="168">
        <v>0.12</v>
      </c>
      <c r="AA112" s="168">
        <v>0.12</v>
      </c>
      <c r="AB112" s="168">
        <v>0.12</v>
      </c>
      <c r="AC112" s="168">
        <v>0.12</v>
      </c>
      <c r="AD112" s="212"/>
      <c r="AE112" s="212"/>
      <c r="AF112" s="212"/>
      <c r="AG112" s="29"/>
      <c r="AH112" s="29"/>
      <c r="AI112" s="29"/>
      <c r="AJ112" s="29"/>
    </row>
    <row r="113" spans="1:36" ht="15.75">
      <c r="A113" s="288" t="s">
        <v>202</v>
      </c>
      <c r="B113" s="289"/>
      <c r="C113" s="289"/>
      <c r="D113" s="290"/>
      <c r="E113" s="217">
        <v>0.981</v>
      </c>
      <c r="F113" s="203">
        <f t="shared" si="26"/>
        <v>1.0651187880000001</v>
      </c>
      <c r="G113" s="203">
        <f t="shared" si="27"/>
        <v>1.27877096568492</v>
      </c>
      <c r="H113" s="203">
        <f t="shared" si="28"/>
        <v>1.4626889210535878</v>
      </c>
      <c r="I113" s="203">
        <f t="shared" si="29"/>
        <v>1.6200362190470063</v>
      </c>
      <c r="J113" s="217">
        <v>0.981</v>
      </c>
      <c r="K113" s="203">
        <f t="shared" si="30"/>
        <v>1.0651187880000001</v>
      </c>
      <c r="L113" s="203">
        <f t="shared" si="31"/>
        <v>1.27877096568492</v>
      </c>
      <c r="M113" s="203">
        <f t="shared" si="32"/>
        <v>1.4626889210535878</v>
      </c>
      <c r="N113" s="203">
        <f t="shared" si="33"/>
        <v>1.6200362190470063</v>
      </c>
      <c r="O113" s="203">
        <v>0.06</v>
      </c>
      <c r="P113" s="203">
        <v>0.1</v>
      </c>
      <c r="Q113" s="203">
        <v>0.2</v>
      </c>
      <c r="R113" s="203">
        <v>0.3</v>
      </c>
      <c r="S113" s="203">
        <v>0.4</v>
      </c>
      <c r="T113" s="168">
        <v>1</v>
      </c>
      <c r="U113" s="168">
        <v>1</v>
      </c>
      <c r="V113" s="168">
        <v>1</v>
      </c>
      <c r="W113" s="168">
        <v>2</v>
      </c>
      <c r="X113" s="168">
        <v>2</v>
      </c>
      <c r="Y113" s="168">
        <v>0.18</v>
      </c>
      <c r="Z113" s="168">
        <v>0.18</v>
      </c>
      <c r="AA113" s="168">
        <v>0.18</v>
      </c>
      <c r="AB113" s="168">
        <v>0.38</v>
      </c>
      <c r="AC113" s="168">
        <v>0.38</v>
      </c>
      <c r="AD113" s="212"/>
      <c r="AE113" s="212"/>
      <c r="AF113" s="212"/>
      <c r="AG113" s="29"/>
      <c r="AH113" s="29"/>
      <c r="AI113" s="29"/>
      <c r="AJ113" s="29"/>
    </row>
    <row r="114" spans="1:36" ht="15.75">
      <c r="A114" s="288" t="s">
        <v>203</v>
      </c>
      <c r="B114" s="289"/>
      <c r="C114" s="289"/>
      <c r="D114" s="290"/>
      <c r="E114" s="217">
        <v>0.423</v>
      </c>
      <c r="F114" s="203">
        <f t="shared" si="26"/>
        <v>0.45927140400000005</v>
      </c>
      <c r="G114" s="203">
        <f t="shared" si="27"/>
        <v>0.55139665492836</v>
      </c>
      <c r="H114" s="203">
        <f t="shared" si="28"/>
        <v>0.6307007274267764</v>
      </c>
      <c r="I114" s="203">
        <f t="shared" si="29"/>
        <v>0.6985477274789844</v>
      </c>
      <c r="J114" s="217">
        <v>0.423</v>
      </c>
      <c r="K114" s="203">
        <f t="shared" si="30"/>
        <v>0.45927140400000005</v>
      </c>
      <c r="L114" s="203">
        <f t="shared" si="31"/>
        <v>0.55139665492836</v>
      </c>
      <c r="M114" s="203">
        <f t="shared" si="32"/>
        <v>0.6307007274267764</v>
      </c>
      <c r="N114" s="203">
        <f t="shared" si="33"/>
        <v>0.6985477274789844</v>
      </c>
      <c r="O114" s="203">
        <v>0.04</v>
      </c>
      <c r="P114" s="203">
        <v>0.05</v>
      </c>
      <c r="Q114" s="203">
        <f>P114*1.05</f>
        <v>0.052500000000000005</v>
      </c>
      <c r="R114" s="203">
        <f>Q114*1.05</f>
        <v>0.05512500000000001</v>
      </c>
      <c r="S114" s="203">
        <f>R114*1.05</f>
        <v>0.05788125000000001</v>
      </c>
      <c r="T114" s="168">
        <v>3</v>
      </c>
      <c r="U114" s="168">
        <v>3</v>
      </c>
      <c r="V114" s="168">
        <v>3</v>
      </c>
      <c r="W114" s="168">
        <v>3</v>
      </c>
      <c r="X114" s="168">
        <v>3</v>
      </c>
      <c r="Y114" s="168">
        <v>0.103</v>
      </c>
      <c r="Z114" s="168">
        <v>0.11</v>
      </c>
      <c r="AA114" s="168">
        <v>0.11</v>
      </c>
      <c r="AB114" s="168">
        <v>0.11</v>
      </c>
      <c r="AC114" s="168">
        <v>0.11</v>
      </c>
      <c r="AD114" s="212"/>
      <c r="AE114" s="212"/>
      <c r="AF114" s="212"/>
      <c r="AG114" s="29"/>
      <c r="AH114" s="29"/>
      <c r="AI114" s="29"/>
      <c r="AJ114" s="29"/>
    </row>
    <row r="115" spans="1:36" ht="15.75">
      <c r="A115" s="288"/>
      <c r="B115" s="289"/>
      <c r="C115" s="289"/>
      <c r="D115" s="290"/>
      <c r="E115" s="217"/>
      <c r="F115" s="203"/>
      <c r="G115" s="203"/>
      <c r="H115" s="203"/>
      <c r="I115" s="203"/>
      <c r="J115" s="217"/>
      <c r="K115" s="203"/>
      <c r="L115" s="203"/>
      <c r="M115" s="203"/>
      <c r="N115" s="203"/>
      <c r="O115" s="203"/>
      <c r="P115" s="203"/>
      <c r="Q115" s="203"/>
      <c r="R115" s="203"/>
      <c r="S115" s="203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212"/>
      <c r="AE115" s="212"/>
      <c r="AF115" s="212"/>
      <c r="AG115" s="29"/>
      <c r="AH115" s="29"/>
      <c r="AI115" s="29"/>
      <c r="AJ115" s="29"/>
    </row>
    <row r="116" spans="1:36" ht="15.75">
      <c r="A116" s="280" t="s">
        <v>225</v>
      </c>
      <c r="B116" s="280"/>
      <c r="C116" s="280"/>
      <c r="D116" s="281"/>
      <c r="E116" s="217"/>
      <c r="F116" s="203">
        <v>104.6</v>
      </c>
      <c r="G116" s="203">
        <v>113.8</v>
      </c>
      <c r="H116" s="203">
        <v>107.2</v>
      </c>
      <c r="I116" s="203">
        <v>106.6</v>
      </c>
      <c r="J116" s="203"/>
      <c r="K116" s="203">
        <v>104.6</v>
      </c>
      <c r="L116" s="203">
        <v>113.8</v>
      </c>
      <c r="M116" s="203">
        <v>107.2</v>
      </c>
      <c r="N116" s="203">
        <v>106.6</v>
      </c>
      <c r="O116" s="203"/>
      <c r="P116" s="203"/>
      <c r="Q116" s="203"/>
      <c r="R116" s="203"/>
      <c r="S116" s="203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212"/>
      <c r="AE116" s="212"/>
      <c r="AF116" s="212"/>
      <c r="AG116" s="29"/>
      <c r="AH116" s="29"/>
      <c r="AI116" s="29"/>
      <c r="AJ116" s="29"/>
    </row>
    <row r="117" spans="1:36" ht="15.75">
      <c r="A117" s="275" t="s">
        <v>226</v>
      </c>
      <c r="B117" s="275"/>
      <c r="C117" s="275"/>
      <c r="D117" s="276"/>
      <c r="E117" s="217"/>
      <c r="F117" s="203">
        <v>103.8</v>
      </c>
      <c r="G117" s="203">
        <v>105.5</v>
      </c>
      <c r="H117" s="203">
        <v>106.7</v>
      </c>
      <c r="I117" s="203">
        <v>104</v>
      </c>
      <c r="J117" s="203"/>
      <c r="K117" s="203">
        <v>103.8</v>
      </c>
      <c r="L117" s="203">
        <v>105.5</v>
      </c>
      <c r="M117" s="203">
        <v>106.7</v>
      </c>
      <c r="N117" s="203">
        <v>104</v>
      </c>
      <c r="O117" s="203"/>
      <c r="P117" s="203"/>
      <c r="Q117" s="203"/>
      <c r="R117" s="203"/>
      <c r="S117" s="203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212"/>
      <c r="AE117" s="212"/>
      <c r="AF117" s="212"/>
      <c r="AG117" s="29"/>
      <c r="AH117" s="29"/>
      <c r="AI117" s="29"/>
      <c r="AJ117" s="29"/>
    </row>
    <row r="118" spans="1:36" ht="15.75">
      <c r="A118" s="186"/>
      <c r="B118" s="226"/>
      <c r="C118" s="226"/>
      <c r="D118" s="227"/>
      <c r="E118" s="175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212"/>
      <c r="AE118" s="212"/>
      <c r="AF118" s="212"/>
      <c r="AG118" s="29"/>
      <c r="AH118" s="29"/>
      <c r="AI118" s="29"/>
      <c r="AJ118" s="29"/>
    </row>
    <row r="119" spans="1:36" ht="15.75">
      <c r="A119" s="282" t="s">
        <v>204</v>
      </c>
      <c r="B119" s="283"/>
      <c r="C119" s="283"/>
      <c r="D119" s="284"/>
      <c r="E119" s="175">
        <f>E120+E121</f>
        <v>2.04</v>
      </c>
      <c r="F119" s="217">
        <f aca="true" t="shared" si="34" ref="F119:AC119">F120+F121</f>
        <v>2.9819999999999998</v>
      </c>
      <c r="G119" s="217">
        <f t="shared" si="34"/>
        <v>4.414019022</v>
      </c>
      <c r="H119" s="217">
        <f t="shared" si="34"/>
        <v>5.2961567033216514</v>
      </c>
      <c r="I119" s="217">
        <f t="shared" si="34"/>
        <v>6.2675285094559765</v>
      </c>
      <c r="J119" s="175">
        <f t="shared" si="34"/>
        <v>2.04</v>
      </c>
      <c r="K119" s="217">
        <f>K120+K121</f>
        <v>2.9819999999999998</v>
      </c>
      <c r="L119" s="217">
        <f>L120+L121</f>
        <v>4.414019022</v>
      </c>
      <c r="M119" s="217">
        <f>M120+M121</f>
        <v>5.2961567033216514</v>
      </c>
      <c r="N119" s="217">
        <f>N120+N121</f>
        <v>6.2675285094559765</v>
      </c>
      <c r="O119" s="175">
        <f t="shared" si="34"/>
        <v>0.45</v>
      </c>
      <c r="P119" s="175">
        <f t="shared" si="34"/>
        <v>0.6</v>
      </c>
      <c r="Q119" s="175">
        <f t="shared" si="34"/>
        <v>0.8</v>
      </c>
      <c r="R119" s="175">
        <f t="shared" si="34"/>
        <v>1.08</v>
      </c>
      <c r="S119" s="175">
        <f t="shared" si="34"/>
        <v>1.35</v>
      </c>
      <c r="T119" s="175">
        <f t="shared" si="34"/>
        <v>8</v>
      </c>
      <c r="U119" s="175">
        <f t="shared" si="34"/>
        <v>8</v>
      </c>
      <c r="V119" s="175">
        <f t="shared" si="34"/>
        <v>8</v>
      </c>
      <c r="W119" s="175">
        <f t="shared" si="34"/>
        <v>8</v>
      </c>
      <c r="X119" s="175">
        <f t="shared" si="34"/>
        <v>8</v>
      </c>
      <c r="Y119" s="175">
        <f t="shared" si="34"/>
        <v>0.15000000000000002</v>
      </c>
      <c r="Z119" s="175">
        <f t="shared" si="34"/>
        <v>0.29000000000000004</v>
      </c>
      <c r="AA119" s="217">
        <f t="shared" si="34"/>
        <v>0.3045</v>
      </c>
      <c r="AB119" s="217">
        <f t="shared" si="34"/>
        <v>0.3349500000000001</v>
      </c>
      <c r="AC119" s="217">
        <f t="shared" si="34"/>
        <v>0.3684450000000001</v>
      </c>
      <c r="AD119" s="212"/>
      <c r="AE119" s="212"/>
      <c r="AF119" s="212"/>
      <c r="AG119" s="29"/>
      <c r="AH119" s="29"/>
      <c r="AI119" s="29"/>
      <c r="AJ119" s="29"/>
    </row>
    <row r="120" spans="1:36" ht="15.75">
      <c r="A120" s="285" t="s">
        <v>196</v>
      </c>
      <c r="B120" s="286"/>
      <c r="C120" s="286"/>
      <c r="D120" s="287"/>
      <c r="E120" s="175">
        <v>1.44</v>
      </c>
      <c r="F120" s="203">
        <f>E120*1.25*0.994</f>
        <v>1.7892</v>
      </c>
      <c r="G120" s="203">
        <f>F120*1.095*1.133</f>
        <v>2.2197441419999997</v>
      </c>
      <c r="H120" s="203">
        <f>G120*1.053*1.102</f>
        <v>2.5758044208416515</v>
      </c>
      <c r="I120" s="203">
        <f>H120*1.117*1.089</f>
        <v>3.1332419829692557</v>
      </c>
      <c r="J120" s="175">
        <v>1.44</v>
      </c>
      <c r="K120" s="203">
        <f>J120*1.25*0.994</f>
        <v>1.7892</v>
      </c>
      <c r="L120" s="203">
        <f>K120*1.095*1.133</f>
        <v>2.2197441419999997</v>
      </c>
      <c r="M120" s="203">
        <f>L120*1.053*1.102</f>
        <v>2.5758044208416515</v>
      </c>
      <c r="N120" s="203">
        <f>M120*1.117*1.089</f>
        <v>3.1332419829692557</v>
      </c>
      <c r="O120" s="168">
        <v>0.4</v>
      </c>
      <c r="P120" s="168">
        <v>0.5</v>
      </c>
      <c r="Q120" s="168">
        <v>0.6</v>
      </c>
      <c r="R120" s="168">
        <v>0.79</v>
      </c>
      <c r="S120" s="168">
        <v>1</v>
      </c>
      <c r="T120" s="168">
        <v>4</v>
      </c>
      <c r="U120" s="168">
        <v>4</v>
      </c>
      <c r="V120" s="168">
        <v>4</v>
      </c>
      <c r="W120" s="168">
        <v>4</v>
      </c>
      <c r="X120" s="168">
        <v>4</v>
      </c>
      <c r="Y120" s="168">
        <v>0.1</v>
      </c>
      <c r="Z120" s="168">
        <v>0.15</v>
      </c>
      <c r="AA120" s="203">
        <f>Z120*1.05</f>
        <v>0.1575</v>
      </c>
      <c r="AB120" s="203">
        <f>AA120*1.1</f>
        <v>0.17325000000000002</v>
      </c>
      <c r="AC120" s="203">
        <f>AB120*1.1</f>
        <v>0.19057500000000002</v>
      </c>
      <c r="AD120" s="212"/>
      <c r="AE120" s="212"/>
      <c r="AF120" s="212"/>
      <c r="AG120" s="29"/>
      <c r="AH120" s="29"/>
      <c r="AI120" s="29"/>
      <c r="AJ120" s="29"/>
    </row>
    <row r="121" spans="1:36" ht="15.75" customHeight="1">
      <c r="A121" s="277" t="s">
        <v>205</v>
      </c>
      <c r="B121" s="278"/>
      <c r="C121" s="278"/>
      <c r="D121" s="279"/>
      <c r="E121" s="168">
        <v>0.6</v>
      </c>
      <c r="F121" s="203">
        <f>E121*2*0.994</f>
        <v>1.1927999999999999</v>
      </c>
      <c r="G121" s="203">
        <f>F121*1.095*1.68</f>
        <v>2.1942748799999996</v>
      </c>
      <c r="H121" s="203">
        <f>G121*1.125*1.102</f>
        <v>2.7203522824799995</v>
      </c>
      <c r="I121" s="203">
        <f>H121*1.058*1.089</f>
        <v>3.1342865264867212</v>
      </c>
      <c r="J121" s="168">
        <v>0.6</v>
      </c>
      <c r="K121" s="203">
        <f>J121*2*0.994</f>
        <v>1.1927999999999999</v>
      </c>
      <c r="L121" s="203">
        <f>K121*1.095*1.68</f>
        <v>2.1942748799999996</v>
      </c>
      <c r="M121" s="203">
        <f>L121*1.125*1.102</f>
        <v>2.7203522824799995</v>
      </c>
      <c r="N121" s="203">
        <f>M121*1.058*1.089</f>
        <v>3.1342865264867212</v>
      </c>
      <c r="O121" s="168">
        <v>0.05</v>
      </c>
      <c r="P121" s="168">
        <v>0.1</v>
      </c>
      <c r="Q121" s="168">
        <v>0.2</v>
      </c>
      <c r="R121" s="168">
        <v>0.29</v>
      </c>
      <c r="S121" s="168">
        <v>0.35</v>
      </c>
      <c r="T121" s="168">
        <v>4</v>
      </c>
      <c r="U121" s="168">
        <v>4</v>
      </c>
      <c r="V121" s="168">
        <v>4</v>
      </c>
      <c r="W121" s="168">
        <v>4</v>
      </c>
      <c r="X121" s="168">
        <v>4</v>
      </c>
      <c r="Y121" s="168">
        <v>0.05</v>
      </c>
      <c r="Z121" s="168">
        <v>0.14</v>
      </c>
      <c r="AA121" s="203">
        <f>Z121*1.05</f>
        <v>0.14700000000000002</v>
      </c>
      <c r="AB121" s="203">
        <f>AA121*1.1</f>
        <v>0.16170000000000004</v>
      </c>
      <c r="AC121" s="203">
        <f>AB121*1.1</f>
        <v>0.17787000000000006</v>
      </c>
      <c r="AD121" s="8"/>
      <c r="AE121" s="8"/>
      <c r="AF121" s="8"/>
      <c r="AG121" s="7"/>
      <c r="AH121" s="7"/>
      <c r="AI121" s="7"/>
      <c r="AJ121" s="7"/>
    </row>
    <row r="122" spans="1:36" ht="15.75">
      <c r="A122" s="277"/>
      <c r="B122" s="278"/>
      <c r="C122" s="278"/>
      <c r="D122" s="278"/>
      <c r="E122" s="175"/>
      <c r="F122" s="203"/>
      <c r="G122" s="203"/>
      <c r="H122" s="203"/>
      <c r="I122" s="203"/>
      <c r="J122" s="168"/>
      <c r="K122" s="203"/>
      <c r="L122" s="203"/>
      <c r="M122" s="203"/>
      <c r="N122" s="203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203"/>
      <c r="AB122" s="203"/>
      <c r="AC122" s="203"/>
      <c r="AD122" s="8"/>
      <c r="AE122" s="8"/>
      <c r="AF122" s="8"/>
      <c r="AG122" s="7"/>
      <c r="AH122" s="7"/>
      <c r="AI122" s="7"/>
      <c r="AJ122" s="7"/>
    </row>
    <row r="123" spans="1:36" ht="15.75">
      <c r="A123" s="280" t="s">
        <v>225</v>
      </c>
      <c r="B123" s="280"/>
      <c r="C123" s="280"/>
      <c r="D123" s="281"/>
      <c r="E123" s="168"/>
      <c r="F123" s="173">
        <v>99.4</v>
      </c>
      <c r="G123" s="173">
        <v>109.5</v>
      </c>
      <c r="H123" s="173">
        <v>110.2</v>
      </c>
      <c r="I123" s="173">
        <v>108.9</v>
      </c>
      <c r="J123" s="173"/>
      <c r="K123" s="173">
        <v>99.4</v>
      </c>
      <c r="L123" s="173">
        <v>109.5</v>
      </c>
      <c r="M123" s="173">
        <v>110.2</v>
      </c>
      <c r="N123" s="173">
        <v>108.9</v>
      </c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203"/>
      <c r="AB123" s="203"/>
      <c r="AC123" s="203"/>
      <c r="AD123" s="8"/>
      <c r="AE123" s="8"/>
      <c r="AF123" s="8"/>
      <c r="AG123" s="7"/>
      <c r="AH123" s="7"/>
      <c r="AI123" s="7"/>
      <c r="AJ123" s="7"/>
    </row>
    <row r="124" spans="1:36" ht="16.5" thickBot="1">
      <c r="A124" s="275" t="s">
        <v>226</v>
      </c>
      <c r="B124" s="275"/>
      <c r="C124" s="275"/>
      <c r="D124" s="276"/>
      <c r="E124" s="168"/>
      <c r="F124" s="171">
        <v>135.2</v>
      </c>
      <c r="G124" s="171">
        <v>128.1</v>
      </c>
      <c r="H124" s="171">
        <v>119.6</v>
      </c>
      <c r="I124" s="171">
        <v>112</v>
      </c>
      <c r="J124" s="171"/>
      <c r="K124" s="171">
        <v>135.2</v>
      </c>
      <c r="L124" s="171">
        <v>128.1</v>
      </c>
      <c r="M124" s="171">
        <v>119.6</v>
      </c>
      <c r="N124" s="171">
        <v>112</v>
      </c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203"/>
      <c r="AB124" s="203"/>
      <c r="AC124" s="203"/>
      <c r="AD124" s="8"/>
      <c r="AE124" s="8"/>
      <c r="AF124" s="8"/>
      <c r="AG124" s="7"/>
      <c r="AH124" s="7"/>
      <c r="AI124" s="7"/>
      <c r="AJ124" s="7"/>
    </row>
    <row r="125" spans="1:36" ht="28.5" customHeight="1" thickBot="1" thickTop="1">
      <c r="A125" s="360" t="s">
        <v>174</v>
      </c>
      <c r="B125" s="361"/>
      <c r="C125" s="361"/>
      <c r="D125" s="362"/>
      <c r="E125" s="218">
        <f aca="true" t="shared" si="35" ref="E125:AC125">E8+E23+E28+E38+E45+E87</f>
        <v>53.738</v>
      </c>
      <c r="F125" s="218">
        <f t="shared" si="35"/>
        <v>49.005207696</v>
      </c>
      <c r="G125" s="218">
        <f t="shared" si="35"/>
        <v>55.07893545184424</v>
      </c>
      <c r="H125" s="218">
        <f t="shared" si="35"/>
        <v>62.64568156250335</v>
      </c>
      <c r="I125" s="218">
        <f t="shared" si="35"/>
        <v>69.77004529508773</v>
      </c>
      <c r="J125" s="218">
        <f t="shared" si="35"/>
        <v>145.00099999999998</v>
      </c>
      <c r="K125" s="218">
        <f t="shared" si="35"/>
        <v>162.97115662799996</v>
      </c>
      <c r="L125" s="218">
        <f t="shared" si="35"/>
        <v>196.51010824671152</v>
      </c>
      <c r="M125" s="218">
        <f t="shared" si="35"/>
        <v>232.49419561352497</v>
      </c>
      <c r="N125" s="218">
        <f t="shared" si="35"/>
        <v>270.3339646270961</v>
      </c>
      <c r="O125" s="218">
        <f t="shared" si="35"/>
        <v>10.213999999999999</v>
      </c>
      <c r="P125" s="218">
        <f t="shared" si="35"/>
        <v>12.295212140000002</v>
      </c>
      <c r="Q125" s="218">
        <f t="shared" si="35"/>
        <v>14.259832764679302</v>
      </c>
      <c r="R125" s="218">
        <f t="shared" si="35"/>
        <v>17.22154201608802</v>
      </c>
      <c r="S125" s="218">
        <f t="shared" si="35"/>
        <v>20.364690119277377</v>
      </c>
      <c r="T125" s="218">
        <f t="shared" si="35"/>
        <v>468</v>
      </c>
      <c r="U125" s="218">
        <f t="shared" si="35"/>
        <v>467</v>
      </c>
      <c r="V125" s="218">
        <f t="shared" si="35"/>
        <v>412</v>
      </c>
      <c r="W125" s="218">
        <f t="shared" si="35"/>
        <v>435</v>
      </c>
      <c r="X125" s="218">
        <f t="shared" si="35"/>
        <v>446</v>
      </c>
      <c r="Y125" s="218">
        <f t="shared" si="35"/>
        <v>19.3102</v>
      </c>
      <c r="Z125" s="218">
        <f t="shared" si="35"/>
        <v>19.464000000000002</v>
      </c>
      <c r="AA125" s="218">
        <f t="shared" si="35"/>
        <v>20.4919</v>
      </c>
      <c r="AB125" s="218">
        <f t="shared" si="35"/>
        <v>22.61089</v>
      </c>
      <c r="AC125" s="218">
        <f t="shared" si="35"/>
        <v>24.62727900000001</v>
      </c>
      <c r="AD125" s="8"/>
      <c r="AE125" s="8"/>
      <c r="AF125" s="8"/>
      <c r="AG125" s="7"/>
      <c r="AH125" s="7"/>
      <c r="AI125" s="7"/>
      <c r="AJ125" s="7"/>
    </row>
    <row r="126" spans="1:36" ht="16.5" thickTop="1">
      <c r="A126" s="213"/>
      <c r="B126" s="213"/>
      <c r="C126" s="213"/>
      <c r="D126" s="213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8"/>
      <c r="AE126" s="8"/>
      <c r="AF126" s="8"/>
      <c r="AG126" s="7"/>
      <c r="AH126" s="7"/>
      <c r="AI126" s="7"/>
      <c r="AJ126" s="7"/>
    </row>
    <row r="127" spans="1:36" ht="75.75" customHeight="1">
      <c r="A127" s="363" t="s">
        <v>108</v>
      </c>
      <c r="B127" s="363"/>
      <c r="C127" s="363"/>
      <c r="D127" s="363"/>
      <c r="E127" s="363"/>
      <c r="F127" s="363"/>
      <c r="G127" s="363"/>
      <c r="H127" s="363"/>
      <c r="I127" s="363"/>
      <c r="J127" s="363"/>
      <c r="K127" s="363"/>
      <c r="L127" s="363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  <c r="X127" s="363"/>
      <c r="Y127" s="363"/>
      <c r="Z127" s="363"/>
      <c r="AA127" s="363"/>
      <c r="AB127" s="363"/>
      <c r="AC127" s="363"/>
      <c r="AD127" s="8"/>
      <c r="AE127" s="8"/>
      <c r="AF127" s="8"/>
      <c r="AG127" s="7"/>
      <c r="AH127" s="7"/>
      <c r="AI127" s="7"/>
      <c r="AJ127" s="7"/>
    </row>
    <row r="128" spans="1:3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7"/>
      <c r="AH128" s="7"/>
      <c r="AI128" s="7"/>
      <c r="AJ128" s="7"/>
    </row>
    <row r="129" spans="1:3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7"/>
      <c r="AH129" s="7"/>
      <c r="AI129" s="7"/>
      <c r="AJ129" s="7"/>
    </row>
    <row r="130" spans="1:3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7"/>
      <c r="AH130" s="7"/>
      <c r="AI130" s="7"/>
      <c r="AJ130" s="7"/>
    </row>
    <row r="131" spans="1:3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7"/>
      <c r="AH131" s="7"/>
      <c r="AI131" s="7"/>
      <c r="AJ131" s="7"/>
    </row>
    <row r="132" spans="1:3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7"/>
      <c r="AH132" s="7"/>
      <c r="AI132" s="7"/>
      <c r="AJ132" s="7"/>
    </row>
    <row r="133" spans="1:3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7"/>
      <c r="AH133" s="7"/>
      <c r="AI133" s="7"/>
      <c r="AJ133" s="7"/>
    </row>
    <row r="134" spans="1:3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7"/>
      <c r="AH134" s="7"/>
      <c r="AI134" s="7"/>
      <c r="AJ134" s="7"/>
    </row>
    <row r="135" spans="1:3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7"/>
      <c r="AH135" s="7"/>
      <c r="AI135" s="7"/>
      <c r="AJ135" s="7"/>
    </row>
    <row r="136" spans="1:3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7"/>
      <c r="AH136" s="7"/>
      <c r="AI136" s="7"/>
      <c r="AJ136" s="7"/>
    </row>
    <row r="137" spans="1:3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7"/>
      <c r="AH137" s="7"/>
      <c r="AI137" s="7"/>
      <c r="AJ137" s="7"/>
    </row>
    <row r="138" spans="1:3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7"/>
      <c r="AH138" s="7"/>
      <c r="AI138" s="7"/>
      <c r="AJ138" s="7"/>
    </row>
    <row r="139" spans="1:3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7"/>
      <c r="AH139" s="7"/>
      <c r="AI139" s="7"/>
      <c r="AJ139" s="7"/>
    </row>
    <row r="140" spans="1:32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</row>
    <row r="141" spans="1:32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</row>
    <row r="142" spans="1:32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</row>
    <row r="143" spans="1:32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</row>
    <row r="144" spans="1:32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</row>
    <row r="145" spans="1:32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</row>
    <row r="146" spans="1:32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</row>
    <row r="147" spans="1:32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</row>
    <row r="148" spans="1:32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</row>
    <row r="149" spans="1:32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</row>
    <row r="150" spans="1:32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</row>
    <row r="151" spans="1:32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</row>
    <row r="152" spans="1:32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</row>
    <row r="153" spans="1:32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 t="s">
        <v>183</v>
      </c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</row>
    <row r="154" spans="1:32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</row>
    <row r="155" spans="1:32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</row>
    <row r="156" spans="1:32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</row>
    <row r="157" spans="1:32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</row>
    <row r="158" spans="1:32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</row>
    <row r="159" spans="1:32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</row>
    <row r="160" spans="1:32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</row>
    <row r="161" spans="1:32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</row>
    <row r="162" spans="1:32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</row>
    <row r="163" spans="1:32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</row>
    <row r="164" spans="1:32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</row>
    <row r="165" spans="1:32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</row>
    <row r="166" spans="1:32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</row>
    <row r="167" spans="1:32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</row>
    <row r="168" spans="1:32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</row>
    <row r="169" spans="1:32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</row>
    <row r="170" spans="1:32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</row>
    <row r="171" spans="1:32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</row>
    <row r="172" spans="1:32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</row>
    <row r="173" spans="1:32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</row>
    <row r="174" spans="1:32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</row>
    <row r="175" spans="1:32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</row>
    <row r="176" spans="1:32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</row>
    <row r="177" spans="1:32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</row>
    <row r="178" spans="1:32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</row>
    <row r="179" spans="1:32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</row>
    <row r="180" spans="1:32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</row>
    <row r="181" spans="1:32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</row>
    <row r="182" spans="1:32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</row>
    <row r="183" spans="1:32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</row>
    <row r="184" spans="1:32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</row>
    <row r="185" spans="1:32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</row>
    <row r="186" spans="1:32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</row>
    <row r="187" spans="1:32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</row>
    <row r="188" spans="1:32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</row>
    <row r="189" spans="1:32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</row>
    <row r="190" spans="1:32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</row>
    <row r="191" spans="1:32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</row>
    <row r="192" spans="1:32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</row>
    <row r="193" spans="1:32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</row>
    <row r="194" spans="1:32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</row>
    <row r="195" spans="1:32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</row>
    <row r="196" spans="1:32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</row>
    <row r="197" spans="1:32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</row>
    <row r="198" spans="1:32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</row>
    <row r="199" spans="1:32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</row>
    <row r="200" spans="1:32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</row>
    <row r="201" spans="1:32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</row>
    <row r="202" spans="1:32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</row>
    <row r="203" spans="1:32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</row>
    <row r="204" spans="1:32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</row>
    <row r="205" spans="1:32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</row>
  </sheetData>
  <sheetProtection/>
  <mergeCells count="143">
    <mergeCell ref="A81:D81"/>
    <mergeCell ref="A82:D82"/>
    <mergeCell ref="A83:D83"/>
    <mergeCell ref="A77:D77"/>
    <mergeCell ref="A78:D78"/>
    <mergeCell ref="A79:D79"/>
    <mergeCell ref="A80:D80"/>
    <mergeCell ref="A73:D73"/>
    <mergeCell ref="A74:D74"/>
    <mergeCell ref="A75:D75"/>
    <mergeCell ref="A76:D76"/>
    <mergeCell ref="A69:D69"/>
    <mergeCell ref="A70:D70"/>
    <mergeCell ref="A71:D71"/>
    <mergeCell ref="A72:D72"/>
    <mergeCell ref="A56:D56"/>
    <mergeCell ref="A57:D57"/>
    <mergeCell ref="A66:D66"/>
    <mergeCell ref="A67:D67"/>
    <mergeCell ref="A68:D68"/>
    <mergeCell ref="A62:D62"/>
    <mergeCell ref="A63:D63"/>
    <mergeCell ref="A64:D64"/>
    <mergeCell ref="A65:D65"/>
    <mergeCell ref="A52:D52"/>
    <mergeCell ref="A53:D53"/>
    <mergeCell ref="A98:D98"/>
    <mergeCell ref="A99:D99"/>
    <mergeCell ref="A58:D58"/>
    <mergeCell ref="A59:D59"/>
    <mergeCell ref="A60:D60"/>
    <mergeCell ref="A61:D61"/>
    <mergeCell ref="A54:D54"/>
    <mergeCell ref="A55:D55"/>
    <mergeCell ref="A106:D106"/>
    <mergeCell ref="B41:D41"/>
    <mergeCell ref="B42:D42"/>
    <mergeCell ref="A92:D92"/>
    <mergeCell ref="A95:D95"/>
    <mergeCell ref="A48:D48"/>
    <mergeCell ref="A49:D49"/>
    <mergeCell ref="C44:D44"/>
    <mergeCell ref="A50:D50"/>
    <mergeCell ref="A51:D51"/>
    <mergeCell ref="C43:D43"/>
    <mergeCell ref="A93:D93"/>
    <mergeCell ref="A94:D94"/>
    <mergeCell ref="A125:D125"/>
    <mergeCell ref="A127:AC127"/>
    <mergeCell ref="A45:D45"/>
    <mergeCell ref="B46:D46"/>
    <mergeCell ref="A87:D87"/>
    <mergeCell ref="B88:D88"/>
    <mergeCell ref="A86:D86"/>
    <mergeCell ref="A47:D47"/>
    <mergeCell ref="A103:D103"/>
    <mergeCell ref="A102:D102"/>
    <mergeCell ref="A38:D38"/>
    <mergeCell ref="B39:D39"/>
    <mergeCell ref="A31:D31"/>
    <mergeCell ref="C36:D36"/>
    <mergeCell ref="C37:D37"/>
    <mergeCell ref="A84:D84"/>
    <mergeCell ref="A85:D85"/>
    <mergeCell ref="A30:D30"/>
    <mergeCell ref="A32:D32"/>
    <mergeCell ref="A33:D33"/>
    <mergeCell ref="A34:D34"/>
    <mergeCell ref="A35:D35"/>
    <mergeCell ref="B17:D17"/>
    <mergeCell ref="C26:D26"/>
    <mergeCell ref="C27:D27"/>
    <mergeCell ref="A28:D28"/>
    <mergeCell ref="B29:D29"/>
    <mergeCell ref="A12:D12"/>
    <mergeCell ref="A13:D13"/>
    <mergeCell ref="C14:D14"/>
    <mergeCell ref="C15:D15"/>
    <mergeCell ref="B9:D9"/>
    <mergeCell ref="A10:D10"/>
    <mergeCell ref="B11:D11"/>
    <mergeCell ref="A16:D16"/>
    <mergeCell ref="J5:J6"/>
    <mergeCell ref="U5:U6"/>
    <mergeCell ref="V5:X5"/>
    <mergeCell ref="A8:D8"/>
    <mergeCell ref="A3:D6"/>
    <mergeCell ref="A7:D7"/>
    <mergeCell ref="K5:K6"/>
    <mergeCell ref="L5:N5"/>
    <mergeCell ref="O5:O6"/>
    <mergeCell ref="N1:AC1"/>
    <mergeCell ref="E5:E6"/>
    <mergeCell ref="F5:F6"/>
    <mergeCell ref="G5:I5"/>
    <mergeCell ref="E4:I4"/>
    <mergeCell ref="E3:I3"/>
    <mergeCell ref="J3:S3"/>
    <mergeCell ref="T3:AC3"/>
    <mergeCell ref="Y4:AC4"/>
    <mergeCell ref="J4:N4"/>
    <mergeCell ref="O4:S4"/>
    <mergeCell ref="T4:X4"/>
    <mergeCell ref="T5:T6"/>
    <mergeCell ref="P5:P6"/>
    <mergeCell ref="Y5:Y6"/>
    <mergeCell ref="Z5:Z6"/>
    <mergeCell ref="AA5:AC5"/>
    <mergeCell ref="Q5:S5"/>
    <mergeCell ref="A19:D19"/>
    <mergeCell ref="A18:D18"/>
    <mergeCell ref="A25:D25"/>
    <mergeCell ref="A23:D23"/>
    <mergeCell ref="B24:D24"/>
    <mergeCell ref="C21:D21"/>
    <mergeCell ref="C22:D22"/>
    <mergeCell ref="C20:D20"/>
    <mergeCell ref="A100:D100"/>
    <mergeCell ref="A105:D105"/>
    <mergeCell ref="A96:D96"/>
    <mergeCell ref="A104:D104"/>
    <mergeCell ref="A89:D89"/>
    <mergeCell ref="A90:D90"/>
    <mergeCell ref="A91:D91"/>
    <mergeCell ref="A97:D97"/>
    <mergeCell ref="A101:D101"/>
    <mergeCell ref="A115:D115"/>
    <mergeCell ref="A107:D107"/>
    <mergeCell ref="A108:D108"/>
    <mergeCell ref="A110:D110"/>
    <mergeCell ref="A109:D109"/>
    <mergeCell ref="A112:D112"/>
    <mergeCell ref="A111:D111"/>
    <mergeCell ref="A114:D114"/>
    <mergeCell ref="A113:D113"/>
    <mergeCell ref="A124:D124"/>
    <mergeCell ref="A121:D121"/>
    <mergeCell ref="A116:D116"/>
    <mergeCell ref="A117:D117"/>
    <mergeCell ref="A122:D122"/>
    <mergeCell ref="A123:D123"/>
    <mergeCell ref="A119:D119"/>
    <mergeCell ref="A120:D120"/>
  </mergeCells>
  <printOptions horizontalCentered="1"/>
  <pageMargins left="0.1968503937007874" right="0" top="0.7874015748031497" bottom="0.1968503937007874" header="0.11811023622047245" footer="0.11811023622047245"/>
  <pageSetup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="50" zoomScaleNormal="60" zoomScaleSheetLayoutView="50" zoomScalePageLayoutView="0" workbookViewId="0" topLeftCell="A1">
      <pane xSplit="2" ySplit="8" topLeftCell="D2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7" sqref="L27:O27"/>
    </sheetView>
  </sheetViews>
  <sheetFormatPr defaultColWidth="9.00390625" defaultRowHeight="12.75"/>
  <cols>
    <col min="1" max="1" width="94.25390625" style="0" customWidth="1"/>
    <col min="2" max="2" width="24.25390625" style="73" customWidth="1"/>
    <col min="3" max="8" width="13.75390625" style="0" customWidth="1"/>
    <col min="9" max="9" width="24.125" style="65" customWidth="1"/>
    <col min="10" max="10" width="22.625" style="0" customWidth="1"/>
    <col min="11" max="11" width="22.875" style="0" customWidth="1"/>
    <col min="12" max="12" width="23.375" style="0" customWidth="1"/>
    <col min="13" max="13" width="24.25390625" style="0" customWidth="1"/>
    <col min="14" max="15" width="22.875" style="0" customWidth="1"/>
    <col min="16" max="17" width="17.00390625" style="0" customWidth="1"/>
    <col min="18" max="19" width="18.75390625" style="0" customWidth="1"/>
    <col min="20" max="20" width="19.375" style="0" customWidth="1"/>
  </cols>
  <sheetData>
    <row r="1" spans="1:29" ht="22.5" customHeight="1">
      <c r="A1" s="55"/>
      <c r="B1" s="65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381" t="s">
        <v>127</v>
      </c>
      <c r="P1" s="381"/>
      <c r="Q1" s="381"/>
      <c r="R1" s="381"/>
      <c r="S1" s="381"/>
      <c r="T1" s="381"/>
      <c r="U1" s="53"/>
      <c r="V1" s="53"/>
      <c r="W1" s="53"/>
      <c r="X1" s="53"/>
      <c r="Y1" s="53"/>
      <c r="Z1" s="53"/>
      <c r="AA1" s="53"/>
      <c r="AB1" s="53"/>
      <c r="AC1" s="53"/>
    </row>
    <row r="2" spans="1:20" ht="82.5" customHeight="1">
      <c r="A2" s="394" t="s">
        <v>162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ht="20.25">
      <c r="A3" s="395" t="s">
        <v>57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</row>
    <row r="5" spans="1:34" ht="97.5" customHeight="1">
      <c r="A5" s="396" t="s">
        <v>104</v>
      </c>
      <c r="B5" s="397" t="s">
        <v>175</v>
      </c>
      <c r="C5" s="397"/>
      <c r="D5" s="397"/>
      <c r="E5" s="397"/>
      <c r="F5" s="397"/>
      <c r="G5" s="397"/>
      <c r="H5" s="397"/>
      <c r="I5" s="398" t="s">
        <v>58</v>
      </c>
      <c r="J5" s="397" t="s">
        <v>59</v>
      </c>
      <c r="K5" s="397"/>
      <c r="L5" s="397"/>
      <c r="M5" s="397"/>
      <c r="N5" s="397"/>
      <c r="O5" s="397"/>
      <c r="P5" s="399" t="s">
        <v>164</v>
      </c>
      <c r="Q5" s="400"/>
      <c r="R5" s="400"/>
      <c r="S5" s="400"/>
      <c r="T5" s="401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78.75" customHeight="1">
      <c r="A6" s="396"/>
      <c r="B6" s="9" t="s">
        <v>14</v>
      </c>
      <c r="C6" s="9" t="s">
        <v>141</v>
      </c>
      <c r="D6" s="9" t="s">
        <v>142</v>
      </c>
      <c r="E6" s="9" t="s">
        <v>143</v>
      </c>
      <c r="F6" s="9" t="s">
        <v>171</v>
      </c>
      <c r="G6" s="9" t="s">
        <v>170</v>
      </c>
      <c r="H6" s="9" t="s">
        <v>209</v>
      </c>
      <c r="I6" s="398"/>
      <c r="J6" s="9" t="s">
        <v>141</v>
      </c>
      <c r="K6" s="9" t="s">
        <v>142</v>
      </c>
      <c r="L6" s="9" t="s">
        <v>143</v>
      </c>
      <c r="M6" s="9" t="s">
        <v>171</v>
      </c>
      <c r="N6" s="9" t="s">
        <v>170</v>
      </c>
      <c r="O6" s="9" t="s">
        <v>209</v>
      </c>
      <c r="P6" s="9" t="s">
        <v>142</v>
      </c>
      <c r="Q6" s="9" t="s">
        <v>143</v>
      </c>
      <c r="R6" s="9" t="s">
        <v>171</v>
      </c>
      <c r="S6" s="9" t="s">
        <v>170</v>
      </c>
      <c r="T6" s="9" t="s">
        <v>209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81">
      <c r="A7" s="60" t="s">
        <v>60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2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4" t="s">
        <v>149</v>
      </c>
      <c r="Q7" s="64" t="s">
        <v>150</v>
      </c>
      <c r="R7" s="64" t="s">
        <v>151</v>
      </c>
      <c r="S7" s="64" t="s">
        <v>152</v>
      </c>
      <c r="T7" s="64" t="s">
        <v>153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7">
      <c r="A8" s="383" t="s">
        <v>61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20" ht="27">
      <c r="A9" s="385" t="s">
        <v>65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</row>
    <row r="10" spans="1:20" ht="52.5" customHeight="1">
      <c r="A10" s="11" t="s">
        <v>147</v>
      </c>
      <c r="B10" s="66"/>
      <c r="C10" s="12"/>
      <c r="D10" s="12"/>
      <c r="E10" s="12"/>
      <c r="F10" s="12"/>
      <c r="G10" s="12"/>
      <c r="H10" s="12"/>
      <c r="I10" s="74"/>
      <c r="J10" s="182"/>
      <c r="K10" s="182"/>
      <c r="L10" s="182"/>
      <c r="M10" s="182"/>
      <c r="N10" s="182"/>
      <c r="O10" s="182"/>
      <c r="P10" s="33"/>
      <c r="Q10" s="33"/>
      <c r="R10" s="33"/>
      <c r="S10" s="33"/>
      <c r="T10" s="33"/>
    </row>
    <row r="11" spans="1:20" ht="52.5">
      <c r="A11" s="188" t="s">
        <v>211</v>
      </c>
      <c r="B11" s="189"/>
      <c r="C11" s="14"/>
      <c r="D11" s="14"/>
      <c r="E11" s="14"/>
      <c r="F11" s="14"/>
      <c r="G11" s="14"/>
      <c r="H11" s="14"/>
      <c r="I11" s="75"/>
      <c r="J11" s="178"/>
      <c r="K11" s="178"/>
      <c r="L11" s="178"/>
      <c r="M11" s="178"/>
      <c r="N11" s="178"/>
      <c r="O11" s="178"/>
      <c r="P11" s="180"/>
      <c r="Q11" s="179"/>
      <c r="R11" s="179"/>
      <c r="S11" s="179"/>
      <c r="T11" s="179"/>
    </row>
    <row r="12" spans="1:20" ht="26.25">
      <c r="A12" s="41" t="s">
        <v>66</v>
      </c>
      <c r="B12" s="190" t="s">
        <v>63</v>
      </c>
      <c r="C12" s="14">
        <f aca="true" t="shared" si="0" ref="C12:H12">C13+C14+C15+C16+C17</f>
        <v>330.9</v>
      </c>
      <c r="D12" s="14">
        <f t="shared" si="0"/>
        <v>380.8</v>
      </c>
      <c r="E12" s="14">
        <f t="shared" si="0"/>
        <v>390.09999999999997</v>
      </c>
      <c r="F12" s="14">
        <f t="shared" si="0"/>
        <v>397.6</v>
      </c>
      <c r="G12" s="14">
        <f t="shared" si="0"/>
        <v>403.1</v>
      </c>
      <c r="H12" s="14">
        <f t="shared" si="0"/>
        <v>408.59999999999997</v>
      </c>
      <c r="I12" s="75">
        <v>8.46</v>
      </c>
      <c r="J12" s="197">
        <f aca="true" t="shared" si="1" ref="J12:J17">I12*C12</f>
        <v>2799.414</v>
      </c>
      <c r="K12" s="197">
        <f aca="true" t="shared" si="2" ref="K12:K17">D12*I12</f>
        <v>3221.568</v>
      </c>
      <c r="L12" s="178">
        <f aca="true" t="shared" si="3" ref="L12:L17">E12*I12</f>
        <v>3300.246</v>
      </c>
      <c r="M12" s="178">
        <f aca="true" t="shared" si="4" ref="M12:M17">F12*I12</f>
        <v>3363.6960000000004</v>
      </c>
      <c r="N12" s="178">
        <f aca="true" t="shared" si="5" ref="N12:N17">I12*G12</f>
        <v>3410.2260000000006</v>
      </c>
      <c r="O12" s="178">
        <f aca="true" t="shared" si="6" ref="O12:O17">I12*H12</f>
        <v>3456.756</v>
      </c>
      <c r="P12" s="180">
        <f aca="true" t="shared" si="7" ref="P12:T17">K12/J12*100</f>
        <v>115.08008461770926</v>
      </c>
      <c r="Q12" s="180">
        <f t="shared" si="7"/>
        <v>102.4422268907563</v>
      </c>
      <c r="R12" s="180">
        <f t="shared" si="7"/>
        <v>101.92258395283262</v>
      </c>
      <c r="S12" s="180">
        <f t="shared" si="7"/>
        <v>101.38329979879276</v>
      </c>
      <c r="T12" s="180">
        <f t="shared" si="7"/>
        <v>101.36442570081863</v>
      </c>
    </row>
    <row r="13" spans="1:20" ht="26.25">
      <c r="A13" s="187" t="s">
        <v>210</v>
      </c>
      <c r="B13" s="67"/>
      <c r="C13" s="14">
        <v>82</v>
      </c>
      <c r="D13" s="14">
        <v>93</v>
      </c>
      <c r="E13" s="14">
        <v>93.5</v>
      </c>
      <c r="F13" s="14">
        <v>93.7</v>
      </c>
      <c r="G13" s="14">
        <v>93.8</v>
      </c>
      <c r="H13" s="14">
        <v>93.9</v>
      </c>
      <c r="I13" s="75">
        <v>8.46</v>
      </c>
      <c r="J13" s="197">
        <f t="shared" si="1"/>
        <v>693.72</v>
      </c>
      <c r="K13" s="197">
        <f t="shared" si="2"/>
        <v>786.7800000000001</v>
      </c>
      <c r="L13" s="178">
        <f t="shared" si="3"/>
        <v>791.0100000000001</v>
      </c>
      <c r="M13" s="178">
        <f t="shared" si="4"/>
        <v>792.7020000000001</v>
      </c>
      <c r="N13" s="178">
        <f t="shared" si="5"/>
        <v>793.548</v>
      </c>
      <c r="O13" s="178">
        <f t="shared" si="6"/>
        <v>794.3940000000001</v>
      </c>
      <c r="P13" s="180">
        <f t="shared" si="7"/>
        <v>113.41463414634147</v>
      </c>
      <c r="Q13" s="180">
        <f t="shared" si="7"/>
        <v>100.53763440860214</v>
      </c>
      <c r="R13" s="180">
        <f t="shared" si="7"/>
        <v>100.21390374331551</v>
      </c>
      <c r="S13" s="180">
        <f t="shared" si="7"/>
        <v>100.10672358591248</v>
      </c>
      <c r="T13" s="180">
        <f t="shared" si="7"/>
        <v>100.10660980810235</v>
      </c>
    </row>
    <row r="14" spans="1:20" ht="26.25">
      <c r="A14" s="187" t="s">
        <v>179</v>
      </c>
      <c r="B14" s="67"/>
      <c r="C14" s="14">
        <v>147</v>
      </c>
      <c r="D14" s="14">
        <v>136.7</v>
      </c>
      <c r="E14" s="14">
        <v>145</v>
      </c>
      <c r="F14" s="14">
        <v>150</v>
      </c>
      <c r="G14" s="14">
        <v>155</v>
      </c>
      <c r="H14" s="14">
        <v>160</v>
      </c>
      <c r="I14" s="75">
        <v>8.46</v>
      </c>
      <c r="J14" s="197">
        <f t="shared" si="1"/>
        <v>1243.6200000000001</v>
      </c>
      <c r="K14" s="197">
        <f t="shared" si="2"/>
        <v>1156.482</v>
      </c>
      <c r="L14" s="178">
        <f t="shared" si="3"/>
        <v>1226.7</v>
      </c>
      <c r="M14" s="178">
        <f t="shared" si="4"/>
        <v>1269.0000000000002</v>
      </c>
      <c r="N14" s="178">
        <f t="shared" si="5"/>
        <v>1311.3000000000002</v>
      </c>
      <c r="O14" s="178">
        <f t="shared" si="6"/>
        <v>1353.6000000000001</v>
      </c>
      <c r="P14" s="180">
        <f t="shared" si="7"/>
        <v>92.99319727891155</v>
      </c>
      <c r="Q14" s="180">
        <f t="shared" si="7"/>
        <v>106.07168983174834</v>
      </c>
      <c r="R14" s="180">
        <f t="shared" si="7"/>
        <v>103.44827586206897</v>
      </c>
      <c r="S14" s="180">
        <f t="shared" si="7"/>
        <v>103.33333333333331</v>
      </c>
      <c r="T14" s="180">
        <f t="shared" si="7"/>
        <v>103.2258064516129</v>
      </c>
    </row>
    <row r="15" spans="1:20" ht="26.25">
      <c r="A15" s="187" t="s">
        <v>191</v>
      </c>
      <c r="B15" s="67"/>
      <c r="C15" s="14">
        <v>17.2</v>
      </c>
      <c r="D15" s="14">
        <v>37.8</v>
      </c>
      <c r="E15" s="14">
        <v>37.9</v>
      </c>
      <c r="F15" s="14">
        <v>38.1</v>
      </c>
      <c r="G15" s="14">
        <v>38.3</v>
      </c>
      <c r="H15" s="14">
        <v>38.5</v>
      </c>
      <c r="I15" s="75">
        <v>8.46</v>
      </c>
      <c r="J15" s="197">
        <f t="shared" si="1"/>
        <v>145.512</v>
      </c>
      <c r="K15" s="197">
        <f t="shared" si="2"/>
        <v>319.788</v>
      </c>
      <c r="L15" s="178">
        <f t="shared" si="3"/>
        <v>320.634</v>
      </c>
      <c r="M15" s="178">
        <f t="shared" si="4"/>
        <v>322.326</v>
      </c>
      <c r="N15" s="178">
        <f t="shared" si="5"/>
        <v>324.01800000000003</v>
      </c>
      <c r="O15" s="178">
        <f t="shared" si="6"/>
        <v>325.71000000000004</v>
      </c>
      <c r="P15" s="180">
        <f t="shared" si="7"/>
        <v>219.7674418604651</v>
      </c>
      <c r="Q15" s="180">
        <f t="shared" si="7"/>
        <v>100.26455026455025</v>
      </c>
      <c r="R15" s="180">
        <f t="shared" si="7"/>
        <v>100.52770448548813</v>
      </c>
      <c r="S15" s="180">
        <f t="shared" si="7"/>
        <v>100.5249343832021</v>
      </c>
      <c r="T15" s="180">
        <f t="shared" si="7"/>
        <v>100.52219321148826</v>
      </c>
    </row>
    <row r="16" spans="1:20" ht="26.25">
      <c r="A16" s="187" t="s">
        <v>192</v>
      </c>
      <c r="B16" s="67"/>
      <c r="C16" s="14">
        <v>28.5</v>
      </c>
      <c r="D16" s="14">
        <v>35.6</v>
      </c>
      <c r="E16" s="14">
        <v>35.7</v>
      </c>
      <c r="F16" s="14">
        <v>35.8</v>
      </c>
      <c r="G16" s="14">
        <v>35.9</v>
      </c>
      <c r="H16" s="14">
        <v>36</v>
      </c>
      <c r="I16" s="75">
        <v>8.46</v>
      </c>
      <c r="J16" s="197">
        <f t="shared" si="1"/>
        <v>241.11</v>
      </c>
      <c r="K16" s="197">
        <f t="shared" si="2"/>
        <v>301.17600000000004</v>
      </c>
      <c r="L16" s="178">
        <f t="shared" si="3"/>
        <v>302.02200000000005</v>
      </c>
      <c r="M16" s="178">
        <f t="shared" si="4"/>
        <v>302.868</v>
      </c>
      <c r="N16" s="178">
        <f t="shared" si="5"/>
        <v>303.714</v>
      </c>
      <c r="O16" s="178">
        <f t="shared" si="6"/>
        <v>304.56000000000006</v>
      </c>
      <c r="P16" s="180">
        <f t="shared" si="7"/>
        <v>124.9122807017544</v>
      </c>
      <c r="Q16" s="180">
        <f t="shared" si="7"/>
        <v>100.2808988764045</v>
      </c>
      <c r="R16" s="180">
        <f t="shared" si="7"/>
        <v>100.2801120448179</v>
      </c>
      <c r="S16" s="180">
        <f t="shared" si="7"/>
        <v>100.27932960893855</v>
      </c>
      <c r="T16" s="180">
        <f t="shared" si="7"/>
        <v>100.27855153203345</v>
      </c>
    </row>
    <row r="17" spans="1:20" ht="26.25">
      <c r="A17" s="187" t="s">
        <v>193</v>
      </c>
      <c r="B17" s="67"/>
      <c r="C17" s="14">
        <v>56.2</v>
      </c>
      <c r="D17" s="14">
        <v>77.7</v>
      </c>
      <c r="E17" s="14">
        <v>78</v>
      </c>
      <c r="F17" s="14">
        <v>80</v>
      </c>
      <c r="G17" s="14">
        <v>80.1</v>
      </c>
      <c r="H17" s="14">
        <v>80.2</v>
      </c>
      <c r="I17" s="75">
        <v>8.46</v>
      </c>
      <c r="J17" s="197">
        <f t="shared" si="1"/>
        <v>475.45200000000006</v>
      </c>
      <c r="K17" s="197">
        <f t="shared" si="2"/>
        <v>657.3420000000001</v>
      </c>
      <c r="L17" s="178">
        <f t="shared" si="3"/>
        <v>659.8800000000001</v>
      </c>
      <c r="M17" s="178">
        <f t="shared" si="4"/>
        <v>676.8000000000001</v>
      </c>
      <c r="N17" s="178">
        <f t="shared" si="5"/>
        <v>677.6460000000001</v>
      </c>
      <c r="O17" s="178">
        <f t="shared" si="6"/>
        <v>678.4920000000001</v>
      </c>
      <c r="P17" s="180">
        <f t="shared" si="7"/>
        <v>138.25622775800713</v>
      </c>
      <c r="Q17" s="180">
        <f t="shared" si="7"/>
        <v>100.38610038610038</v>
      </c>
      <c r="R17" s="180">
        <f t="shared" si="7"/>
        <v>102.56410256410255</v>
      </c>
      <c r="S17" s="180">
        <f t="shared" si="7"/>
        <v>100.125</v>
      </c>
      <c r="T17" s="180">
        <f t="shared" si="7"/>
        <v>100.12484394506866</v>
      </c>
    </row>
    <row r="18" spans="1:20" ht="26.25">
      <c r="A18" s="16"/>
      <c r="B18" s="67"/>
      <c r="C18" s="14"/>
      <c r="D18" s="14"/>
      <c r="E18" s="14"/>
      <c r="F18" s="14"/>
      <c r="G18" s="14"/>
      <c r="H18" s="14"/>
      <c r="I18" s="75"/>
      <c r="J18" s="178"/>
      <c r="K18" s="178"/>
      <c r="L18" s="178"/>
      <c r="M18" s="178"/>
      <c r="N18" s="178"/>
      <c r="O18" s="178"/>
      <c r="P18" s="180"/>
      <c r="Q18" s="180"/>
      <c r="R18" s="180"/>
      <c r="S18" s="180"/>
      <c r="T18" s="180"/>
    </row>
    <row r="19" spans="1:20" ht="26.25">
      <c r="A19" s="16"/>
      <c r="B19" s="67"/>
      <c r="C19" s="14"/>
      <c r="D19" s="14"/>
      <c r="E19" s="14"/>
      <c r="F19" s="14"/>
      <c r="G19" s="14"/>
      <c r="H19" s="14"/>
      <c r="I19" s="75"/>
      <c r="J19" s="178"/>
      <c r="K19" s="178"/>
      <c r="L19" s="178"/>
      <c r="M19" s="178"/>
      <c r="N19" s="178"/>
      <c r="O19" s="178"/>
      <c r="P19" s="180"/>
      <c r="Q19" s="179"/>
      <c r="R19" s="180"/>
      <c r="S19" s="180"/>
      <c r="T19" s="180"/>
    </row>
    <row r="20" spans="1:20" ht="55.5" customHeight="1">
      <c r="A20" s="18" t="s">
        <v>148</v>
      </c>
      <c r="B20" s="67"/>
      <c r="C20" s="14"/>
      <c r="D20" s="14"/>
      <c r="E20" s="14"/>
      <c r="F20" s="14"/>
      <c r="G20" s="14"/>
      <c r="H20" s="14"/>
      <c r="I20" s="75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4"/>
    </row>
    <row r="21" spans="1:20" ht="52.5">
      <c r="A21" s="16" t="s">
        <v>67</v>
      </c>
      <c r="B21" s="67" t="s">
        <v>62</v>
      </c>
      <c r="C21" s="14">
        <f aca="true" t="shared" si="8" ref="C21:H21">C22+C23+C24+C25+C26+C27</f>
        <v>5.638999999999999</v>
      </c>
      <c r="D21" s="14">
        <f t="shared" si="8"/>
        <v>5.737</v>
      </c>
      <c r="E21" s="14">
        <f t="shared" si="8"/>
        <v>6.594</v>
      </c>
      <c r="F21" s="14">
        <f t="shared" si="8"/>
        <v>6.861999999999999</v>
      </c>
      <c r="G21" s="14">
        <f t="shared" si="8"/>
        <v>7.398</v>
      </c>
      <c r="H21" s="14">
        <f t="shared" si="8"/>
        <v>7.7090000000000005</v>
      </c>
      <c r="I21" s="75">
        <v>2716.41</v>
      </c>
      <c r="J21" s="197">
        <f aca="true" t="shared" si="9" ref="J21:J27">I21*C21</f>
        <v>15317.835989999998</v>
      </c>
      <c r="K21" s="197">
        <f aca="true" t="shared" si="10" ref="K21:K26">D21*I21</f>
        <v>15584.04417</v>
      </c>
      <c r="L21" s="181">
        <f aca="true" t="shared" si="11" ref="L21:L26">E21*I21</f>
        <v>17912.00754</v>
      </c>
      <c r="M21" s="181">
        <f aca="true" t="shared" si="12" ref="M21:M26">F21*I21</f>
        <v>18640.005419999998</v>
      </c>
      <c r="N21" s="181">
        <f aca="true" t="shared" si="13" ref="N21:N26">I21*G21</f>
        <v>20096.00118</v>
      </c>
      <c r="O21" s="181">
        <f aca="true" t="shared" si="14" ref="O21:O26">I21*H21</f>
        <v>20940.80469</v>
      </c>
      <c r="P21" s="180">
        <f aca="true" t="shared" si="15" ref="P21:P26">K21/J21*100</f>
        <v>101.73789679021104</v>
      </c>
      <c r="Q21" s="180">
        <f aca="true" t="shared" si="16" ref="Q21:Q26">L21/K21*100</f>
        <v>114.93812096914763</v>
      </c>
      <c r="R21" s="180">
        <f aca="true" t="shared" si="17" ref="R21:R26">M21/L21*100</f>
        <v>104.06430087958749</v>
      </c>
      <c r="S21" s="180">
        <f aca="true" t="shared" si="18" ref="S21:S26">N21/M21*100</f>
        <v>107.811133780239</v>
      </c>
      <c r="T21" s="180">
        <f aca="true" t="shared" si="19" ref="T21:T26">O21/N21*100</f>
        <v>104.20383887537173</v>
      </c>
    </row>
    <row r="22" spans="1:20" ht="26.25">
      <c r="A22" s="187" t="s">
        <v>212</v>
      </c>
      <c r="B22" s="67"/>
      <c r="C22" s="14">
        <v>0.7</v>
      </c>
      <c r="D22" s="14">
        <v>0.7</v>
      </c>
      <c r="E22" s="14">
        <v>1.156</v>
      </c>
      <c r="F22" s="14">
        <v>1.178</v>
      </c>
      <c r="G22" s="14">
        <v>1.2</v>
      </c>
      <c r="H22" s="14">
        <v>1.21</v>
      </c>
      <c r="I22" s="75">
        <v>2716.41</v>
      </c>
      <c r="J22" s="197">
        <f t="shared" si="9"/>
        <v>1901.4869999999999</v>
      </c>
      <c r="K22" s="197">
        <f t="shared" si="10"/>
        <v>1901.4869999999999</v>
      </c>
      <c r="L22" s="181">
        <f t="shared" si="11"/>
        <v>3140.1699599999997</v>
      </c>
      <c r="M22" s="181">
        <f t="shared" si="12"/>
        <v>3199.9309799999996</v>
      </c>
      <c r="N22" s="181">
        <f t="shared" si="13"/>
        <v>3259.6919999999996</v>
      </c>
      <c r="O22" s="181">
        <f t="shared" si="14"/>
        <v>3286.8560999999995</v>
      </c>
      <c r="P22" s="180">
        <f t="shared" si="15"/>
        <v>100</v>
      </c>
      <c r="Q22" s="180">
        <f t="shared" si="16"/>
        <v>165.14285714285714</v>
      </c>
      <c r="R22" s="180">
        <f t="shared" si="17"/>
        <v>101.90311418685121</v>
      </c>
      <c r="S22" s="180">
        <f t="shared" si="18"/>
        <v>101.86757215619696</v>
      </c>
      <c r="T22" s="180">
        <f t="shared" si="19"/>
        <v>100.83333333333333</v>
      </c>
    </row>
    <row r="23" spans="1:20" ht="26.25">
      <c r="A23" s="187" t="s">
        <v>213</v>
      </c>
      <c r="B23" s="67"/>
      <c r="C23" s="14">
        <v>1.832</v>
      </c>
      <c r="D23" s="14">
        <v>2.247</v>
      </c>
      <c r="E23" s="14">
        <v>2.25</v>
      </c>
      <c r="F23" s="14">
        <v>2.264</v>
      </c>
      <c r="G23" s="14">
        <v>2.3</v>
      </c>
      <c r="H23" s="14">
        <v>2.35</v>
      </c>
      <c r="I23" s="75">
        <v>2716.41</v>
      </c>
      <c r="J23" s="197">
        <f t="shared" si="9"/>
        <v>4976.46312</v>
      </c>
      <c r="K23" s="197">
        <f t="shared" si="10"/>
        <v>6103.77327</v>
      </c>
      <c r="L23" s="181">
        <f t="shared" si="11"/>
        <v>6111.9225</v>
      </c>
      <c r="M23" s="181">
        <f t="shared" si="12"/>
        <v>6149.952239999999</v>
      </c>
      <c r="N23" s="181">
        <f t="shared" si="13"/>
        <v>6247.7429999999995</v>
      </c>
      <c r="O23" s="181">
        <f t="shared" si="14"/>
        <v>6383.5635</v>
      </c>
      <c r="P23" s="180">
        <f t="shared" si="15"/>
        <v>122.65283842794759</v>
      </c>
      <c r="Q23" s="180">
        <f t="shared" si="16"/>
        <v>100.13351134846462</v>
      </c>
      <c r="R23" s="180">
        <f t="shared" si="17"/>
        <v>100.6222222222222</v>
      </c>
      <c r="S23" s="180">
        <f t="shared" si="18"/>
        <v>101.59010600706715</v>
      </c>
      <c r="T23" s="180">
        <f t="shared" si="19"/>
        <v>102.17391304347827</v>
      </c>
    </row>
    <row r="24" spans="1:20" ht="26.25">
      <c r="A24" s="191" t="s">
        <v>194</v>
      </c>
      <c r="B24" s="67"/>
      <c r="C24" s="14">
        <v>0.977</v>
      </c>
      <c r="D24" s="14">
        <v>0.485</v>
      </c>
      <c r="E24" s="14">
        <v>0.498</v>
      </c>
      <c r="F24" s="14">
        <v>0.5</v>
      </c>
      <c r="G24" s="14">
        <v>0.52</v>
      </c>
      <c r="H24" s="14">
        <v>0.55</v>
      </c>
      <c r="I24" s="75">
        <v>2716.41</v>
      </c>
      <c r="J24" s="197">
        <f t="shared" si="9"/>
        <v>2653.93257</v>
      </c>
      <c r="K24" s="197">
        <f t="shared" si="10"/>
        <v>1317.45885</v>
      </c>
      <c r="L24" s="181">
        <f t="shared" si="11"/>
        <v>1352.77218</v>
      </c>
      <c r="M24" s="181">
        <f t="shared" si="12"/>
        <v>1358.205</v>
      </c>
      <c r="N24" s="181">
        <f t="shared" si="13"/>
        <v>1412.5332</v>
      </c>
      <c r="O24" s="181">
        <f t="shared" si="14"/>
        <v>1494.0255</v>
      </c>
      <c r="P24" s="180">
        <f t="shared" si="15"/>
        <v>49.6417604912999</v>
      </c>
      <c r="Q24" s="180">
        <f t="shared" si="16"/>
        <v>102.68041237113401</v>
      </c>
      <c r="R24" s="180">
        <f t="shared" si="17"/>
        <v>100.40160642570282</v>
      </c>
      <c r="S24" s="180">
        <f t="shared" si="18"/>
        <v>104</v>
      </c>
      <c r="T24" s="180">
        <f t="shared" si="19"/>
        <v>105.76923076923077</v>
      </c>
    </row>
    <row r="25" spans="1:20" ht="26.25">
      <c r="A25" s="191" t="s">
        <v>195</v>
      </c>
      <c r="B25" s="67"/>
      <c r="C25" s="14">
        <v>0.13</v>
      </c>
      <c r="D25" s="14">
        <v>0.305</v>
      </c>
      <c r="E25" s="14">
        <v>0.36</v>
      </c>
      <c r="F25" s="14">
        <v>0.37</v>
      </c>
      <c r="G25" s="14">
        <v>0.378</v>
      </c>
      <c r="H25" s="14">
        <v>0.399</v>
      </c>
      <c r="I25" s="75">
        <v>2716.41</v>
      </c>
      <c r="J25" s="197">
        <f t="shared" si="9"/>
        <v>353.1333</v>
      </c>
      <c r="K25" s="197">
        <f t="shared" si="10"/>
        <v>828.50505</v>
      </c>
      <c r="L25" s="181">
        <f t="shared" si="11"/>
        <v>977.9075999999999</v>
      </c>
      <c r="M25" s="181">
        <f t="shared" si="12"/>
        <v>1005.0717</v>
      </c>
      <c r="N25" s="181">
        <f t="shared" si="13"/>
        <v>1026.80298</v>
      </c>
      <c r="O25" s="181">
        <f t="shared" si="14"/>
        <v>1083.84759</v>
      </c>
      <c r="P25" s="180">
        <f t="shared" si="15"/>
        <v>234.61538461538458</v>
      </c>
      <c r="Q25" s="180">
        <f t="shared" si="16"/>
        <v>118.0327868852459</v>
      </c>
      <c r="R25" s="180">
        <f t="shared" si="17"/>
        <v>102.77777777777779</v>
      </c>
      <c r="S25" s="180">
        <f t="shared" si="18"/>
        <v>102.16216216216216</v>
      </c>
      <c r="T25" s="180">
        <f t="shared" si="19"/>
        <v>105.55555555555559</v>
      </c>
    </row>
    <row r="26" spans="1:20" ht="54" customHeight="1">
      <c r="A26" s="191" t="s">
        <v>196</v>
      </c>
      <c r="B26" s="67"/>
      <c r="C26" s="14">
        <v>2</v>
      </c>
      <c r="D26" s="14">
        <v>2</v>
      </c>
      <c r="E26" s="14">
        <v>2</v>
      </c>
      <c r="F26" s="14">
        <v>2.1</v>
      </c>
      <c r="G26" s="14">
        <v>2.5</v>
      </c>
      <c r="H26" s="14">
        <v>2.5</v>
      </c>
      <c r="I26" s="75">
        <v>2716.41</v>
      </c>
      <c r="J26" s="197">
        <f t="shared" si="9"/>
        <v>5432.82</v>
      </c>
      <c r="K26" s="197">
        <f t="shared" si="10"/>
        <v>5432.82</v>
      </c>
      <c r="L26" s="178">
        <f t="shared" si="11"/>
        <v>5432.82</v>
      </c>
      <c r="M26" s="181">
        <f t="shared" si="12"/>
        <v>5704.461</v>
      </c>
      <c r="N26" s="181">
        <f t="shared" si="13"/>
        <v>6791.025</v>
      </c>
      <c r="O26" s="181">
        <f t="shared" si="14"/>
        <v>6791.025</v>
      </c>
      <c r="P26" s="180">
        <f t="shared" si="15"/>
        <v>100</v>
      </c>
      <c r="Q26" s="180">
        <f t="shared" si="16"/>
        <v>100</v>
      </c>
      <c r="R26" s="180">
        <f t="shared" si="17"/>
        <v>105</v>
      </c>
      <c r="S26" s="180">
        <f t="shared" si="18"/>
        <v>119.04761904761905</v>
      </c>
      <c r="T26" s="180">
        <f t="shared" si="19"/>
        <v>100</v>
      </c>
    </row>
    <row r="27" spans="1:20" ht="54" customHeight="1">
      <c r="A27" s="191" t="s">
        <v>227</v>
      </c>
      <c r="B27" s="67"/>
      <c r="C27" s="14">
        <v>0</v>
      </c>
      <c r="D27" s="14">
        <v>0</v>
      </c>
      <c r="E27" s="14">
        <v>0.33</v>
      </c>
      <c r="F27" s="14">
        <v>0.45</v>
      </c>
      <c r="G27" s="14">
        <v>0.5</v>
      </c>
      <c r="H27" s="14">
        <v>0.7</v>
      </c>
      <c r="I27" s="75">
        <v>2716.41</v>
      </c>
      <c r="J27" s="197">
        <f t="shared" si="9"/>
        <v>0</v>
      </c>
      <c r="K27" s="197">
        <f>D27*I27</f>
        <v>0</v>
      </c>
      <c r="L27" s="181">
        <f>E27*I27</f>
        <v>896.4153</v>
      </c>
      <c r="M27" s="181">
        <f>F27*I27</f>
        <v>1222.3845</v>
      </c>
      <c r="N27" s="181">
        <f>I27*G27</f>
        <v>1358.205</v>
      </c>
      <c r="O27" s="181">
        <f>I27*H27</f>
        <v>1901.4869999999999</v>
      </c>
      <c r="P27" s="180" t="e">
        <f aca="true" t="shared" si="20" ref="P27:T28">K27/J27*100</f>
        <v>#DIV/0!</v>
      </c>
      <c r="Q27" s="180" t="e">
        <f t="shared" si="20"/>
        <v>#DIV/0!</v>
      </c>
      <c r="R27" s="180">
        <f t="shared" si="20"/>
        <v>136.36363636363635</v>
      </c>
      <c r="S27" s="180">
        <f t="shared" si="20"/>
        <v>111.11111111111111</v>
      </c>
      <c r="T27" s="180">
        <f t="shared" si="20"/>
        <v>140</v>
      </c>
    </row>
    <row r="28" spans="1:20" ht="26.25">
      <c r="A28" s="13" t="s">
        <v>214</v>
      </c>
      <c r="B28" s="67"/>
      <c r="C28" s="14"/>
      <c r="D28" s="14"/>
      <c r="E28" s="14"/>
      <c r="F28" s="14"/>
      <c r="G28" s="14"/>
      <c r="H28" s="14"/>
      <c r="I28" s="75"/>
      <c r="J28" s="181">
        <f aca="true" t="shared" si="21" ref="J28:O28">J12+J21</f>
        <v>18117.249989999997</v>
      </c>
      <c r="K28" s="181">
        <f t="shared" si="21"/>
        <v>18805.61217</v>
      </c>
      <c r="L28" s="181">
        <f t="shared" si="21"/>
        <v>21212.253539999998</v>
      </c>
      <c r="M28" s="181">
        <f t="shared" si="21"/>
        <v>22003.701419999998</v>
      </c>
      <c r="N28" s="181">
        <f t="shared" si="21"/>
        <v>23506.22718</v>
      </c>
      <c r="O28" s="181">
        <f t="shared" si="21"/>
        <v>24397.560690000002</v>
      </c>
      <c r="P28" s="180">
        <f t="shared" si="20"/>
        <v>103.79948491288661</v>
      </c>
      <c r="Q28" s="180">
        <f t="shared" si="20"/>
        <v>112.79746358823263</v>
      </c>
      <c r="R28" s="180">
        <f t="shared" si="20"/>
        <v>103.73108815858517</v>
      </c>
      <c r="S28" s="180">
        <f t="shared" si="20"/>
        <v>106.82851367286005</v>
      </c>
      <c r="T28" s="180">
        <f t="shared" si="20"/>
        <v>103.7919037503321</v>
      </c>
    </row>
    <row r="29" spans="1:20" ht="27">
      <c r="A29" s="387" t="s">
        <v>70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</row>
    <row r="30" spans="1:20" ht="26.25">
      <c r="A30" s="13" t="s">
        <v>71</v>
      </c>
      <c r="B30" s="67"/>
      <c r="C30" s="14"/>
      <c r="D30" s="14"/>
      <c r="E30" s="14"/>
      <c r="F30" s="14"/>
      <c r="G30" s="14"/>
      <c r="H30" s="14"/>
      <c r="I30" s="75"/>
      <c r="J30" s="15"/>
      <c r="K30" s="15"/>
      <c r="L30" s="15"/>
      <c r="M30" s="15"/>
      <c r="N30" s="15"/>
      <c r="O30" s="15"/>
      <c r="P30" s="34"/>
      <c r="Q30" s="34"/>
      <c r="R30" s="34"/>
      <c r="S30" s="34"/>
      <c r="T30" s="34"/>
    </row>
    <row r="31" spans="1:20" ht="57.75" customHeight="1">
      <c r="A31" s="21" t="s">
        <v>72</v>
      </c>
      <c r="B31" s="17" t="s">
        <v>102</v>
      </c>
      <c r="C31" s="14"/>
      <c r="D31" s="14"/>
      <c r="E31" s="14"/>
      <c r="F31" s="14"/>
      <c r="G31" s="14"/>
      <c r="H31" s="14"/>
      <c r="I31" s="75"/>
      <c r="J31" s="15"/>
      <c r="K31" s="15"/>
      <c r="L31" s="15"/>
      <c r="M31" s="15"/>
      <c r="N31" s="15"/>
      <c r="O31" s="15"/>
      <c r="P31" s="34"/>
      <c r="Q31" s="34"/>
      <c r="R31" s="34"/>
      <c r="S31" s="34"/>
      <c r="T31" s="34"/>
    </row>
    <row r="32" spans="1:20" ht="26.25">
      <c r="A32" s="13" t="s">
        <v>73</v>
      </c>
      <c r="B32" s="67"/>
      <c r="C32" s="14"/>
      <c r="D32" s="14"/>
      <c r="E32" s="14"/>
      <c r="F32" s="14"/>
      <c r="G32" s="14"/>
      <c r="H32" s="14"/>
      <c r="I32" s="75"/>
      <c r="J32" s="15"/>
      <c r="K32" s="15"/>
      <c r="L32" s="15"/>
      <c r="M32" s="15"/>
      <c r="N32" s="15"/>
      <c r="O32" s="15"/>
      <c r="P32" s="34"/>
      <c r="Q32" s="34"/>
      <c r="R32" s="34"/>
      <c r="S32" s="34"/>
      <c r="T32" s="34"/>
    </row>
    <row r="33" spans="1:20" ht="57.75" customHeight="1">
      <c r="A33" s="21" t="s">
        <v>72</v>
      </c>
      <c r="B33" s="17" t="s">
        <v>102</v>
      </c>
      <c r="C33" s="14">
        <f aca="true" t="shared" si="22" ref="C33:H33">C34+C35</f>
        <v>68.7</v>
      </c>
      <c r="D33" s="14">
        <f t="shared" si="22"/>
        <v>71.6</v>
      </c>
      <c r="E33" s="14">
        <f t="shared" si="22"/>
        <v>73.7</v>
      </c>
      <c r="F33" s="14">
        <f t="shared" si="22"/>
        <v>73.85</v>
      </c>
      <c r="G33" s="14">
        <f t="shared" si="22"/>
        <v>74.46000000000001</v>
      </c>
      <c r="H33" s="14">
        <f t="shared" si="22"/>
        <v>74.87</v>
      </c>
      <c r="I33" s="75">
        <v>173.54</v>
      </c>
      <c r="J33" s="197">
        <f>I33*C33</f>
        <v>11922.198</v>
      </c>
      <c r="K33" s="197">
        <f>D33*I33</f>
        <v>12425.463999999998</v>
      </c>
      <c r="L33" s="178">
        <f>E33*I33</f>
        <v>12789.898</v>
      </c>
      <c r="M33" s="178">
        <f>F33*I33</f>
        <v>12815.928999999998</v>
      </c>
      <c r="N33" s="178">
        <f>I33*G33</f>
        <v>12921.788400000001</v>
      </c>
      <c r="O33" s="178">
        <f>I33*H33</f>
        <v>12992.9398</v>
      </c>
      <c r="P33" s="180">
        <f aca="true" t="shared" si="23" ref="P33:T37">K33/J33*100</f>
        <v>104.22125181950508</v>
      </c>
      <c r="Q33" s="180">
        <f t="shared" si="23"/>
        <v>102.93296089385476</v>
      </c>
      <c r="R33" s="180">
        <f t="shared" si="23"/>
        <v>100.2035278154681</v>
      </c>
      <c r="S33" s="180">
        <f t="shared" si="23"/>
        <v>100.8259986459039</v>
      </c>
      <c r="T33" s="180">
        <f t="shared" si="23"/>
        <v>100.55063121138865</v>
      </c>
    </row>
    <row r="34" spans="1:20" ht="57.75" customHeight="1">
      <c r="A34" s="196" t="s">
        <v>215</v>
      </c>
      <c r="B34" s="192"/>
      <c r="C34" s="193">
        <v>55</v>
      </c>
      <c r="D34" s="193">
        <v>57.3</v>
      </c>
      <c r="E34" s="193">
        <v>58.9</v>
      </c>
      <c r="F34" s="193">
        <v>59</v>
      </c>
      <c r="G34" s="193">
        <v>59.5</v>
      </c>
      <c r="H34" s="193">
        <v>59.9</v>
      </c>
      <c r="I34" s="194">
        <v>173.54</v>
      </c>
      <c r="J34" s="197">
        <f>I34*C34</f>
        <v>9544.699999999999</v>
      </c>
      <c r="K34" s="197">
        <f>D34*I34</f>
        <v>9943.841999999999</v>
      </c>
      <c r="L34" s="178">
        <f>E34*I34</f>
        <v>10221.506</v>
      </c>
      <c r="M34" s="178">
        <f>F34*I34</f>
        <v>10238.859999999999</v>
      </c>
      <c r="N34" s="178">
        <f>I34*G34</f>
        <v>10325.63</v>
      </c>
      <c r="O34" s="178">
        <f>I34*H34</f>
        <v>10395.045999999998</v>
      </c>
      <c r="P34" s="180">
        <f t="shared" si="23"/>
        <v>104.18181818181817</v>
      </c>
      <c r="Q34" s="180">
        <f t="shared" si="23"/>
        <v>102.79232111692846</v>
      </c>
      <c r="R34" s="180">
        <f t="shared" si="23"/>
        <v>100.16977928692698</v>
      </c>
      <c r="S34" s="180">
        <f t="shared" si="23"/>
        <v>100.84745762711864</v>
      </c>
      <c r="T34" s="180">
        <f t="shared" si="23"/>
        <v>100.67226890756302</v>
      </c>
    </row>
    <row r="35" spans="1:20" ht="57.75" customHeight="1">
      <c r="A35" s="196" t="s">
        <v>216</v>
      </c>
      <c r="B35" s="192"/>
      <c r="C35" s="193">
        <v>13.7</v>
      </c>
      <c r="D35" s="193">
        <v>14.3</v>
      </c>
      <c r="E35" s="193">
        <v>14.8</v>
      </c>
      <c r="F35" s="193">
        <v>14.85</v>
      </c>
      <c r="G35" s="193">
        <v>14.96</v>
      </c>
      <c r="H35" s="193">
        <v>14.97</v>
      </c>
      <c r="I35" s="194">
        <v>173.54</v>
      </c>
      <c r="J35" s="197">
        <f>I35*C35</f>
        <v>2377.4979999999996</v>
      </c>
      <c r="K35" s="197">
        <f>D35*I35</f>
        <v>2481.622</v>
      </c>
      <c r="L35" s="178">
        <f>E35*I35</f>
        <v>2568.392</v>
      </c>
      <c r="M35" s="178">
        <f>F35*I35</f>
        <v>2577.069</v>
      </c>
      <c r="N35" s="178">
        <f>I35*G35</f>
        <v>2596.1584000000003</v>
      </c>
      <c r="O35" s="178">
        <f>I35*H35</f>
        <v>2597.8938</v>
      </c>
      <c r="P35" s="180">
        <f t="shared" si="23"/>
        <v>104.37956204379563</v>
      </c>
      <c r="Q35" s="180">
        <f t="shared" si="23"/>
        <v>103.4965034965035</v>
      </c>
      <c r="R35" s="180">
        <f t="shared" si="23"/>
        <v>100.33783783783785</v>
      </c>
      <c r="S35" s="180">
        <f t="shared" si="23"/>
        <v>100.74074074074075</v>
      </c>
      <c r="T35" s="180">
        <f t="shared" si="23"/>
        <v>100.06684491978608</v>
      </c>
    </row>
    <row r="36" spans="1:20" ht="57.75" customHeight="1">
      <c r="A36" s="196" t="s">
        <v>214</v>
      </c>
      <c r="B36" s="68" t="s">
        <v>103</v>
      </c>
      <c r="C36" s="19" t="s">
        <v>103</v>
      </c>
      <c r="D36" s="19" t="s">
        <v>103</v>
      </c>
      <c r="E36" s="19" t="s">
        <v>103</v>
      </c>
      <c r="F36" s="19" t="s">
        <v>103</v>
      </c>
      <c r="G36" s="19" t="s">
        <v>103</v>
      </c>
      <c r="H36" s="19" t="s">
        <v>103</v>
      </c>
      <c r="I36" s="77" t="s">
        <v>103</v>
      </c>
      <c r="J36" s="198">
        <f aca="true" t="shared" si="24" ref="J36:O36">J33</f>
        <v>11922.198</v>
      </c>
      <c r="K36" s="198">
        <f t="shared" si="24"/>
        <v>12425.463999999998</v>
      </c>
      <c r="L36" s="198">
        <f t="shared" si="24"/>
        <v>12789.898</v>
      </c>
      <c r="M36" s="198">
        <f t="shared" si="24"/>
        <v>12815.928999999998</v>
      </c>
      <c r="N36" s="198">
        <f t="shared" si="24"/>
        <v>12921.788400000001</v>
      </c>
      <c r="O36" s="195">
        <f t="shared" si="24"/>
        <v>12992.9398</v>
      </c>
      <c r="P36" s="180">
        <f t="shared" si="23"/>
        <v>104.22125181950508</v>
      </c>
      <c r="Q36" s="180">
        <f t="shared" si="23"/>
        <v>102.93296089385476</v>
      </c>
      <c r="R36" s="180">
        <f t="shared" si="23"/>
        <v>100.2035278154681</v>
      </c>
      <c r="S36" s="180">
        <f t="shared" si="23"/>
        <v>100.8259986459039</v>
      </c>
      <c r="T36" s="180">
        <f t="shared" si="23"/>
        <v>100.55063121138865</v>
      </c>
    </row>
    <row r="37" spans="1:20" ht="71.25" customHeight="1">
      <c r="A37" s="36" t="s">
        <v>74</v>
      </c>
      <c r="B37" s="68" t="s">
        <v>103</v>
      </c>
      <c r="C37" s="19" t="s">
        <v>103</v>
      </c>
      <c r="D37" s="19" t="s">
        <v>103</v>
      </c>
      <c r="E37" s="19" t="s">
        <v>103</v>
      </c>
      <c r="F37" s="19" t="s">
        <v>103</v>
      </c>
      <c r="G37" s="19" t="s">
        <v>103</v>
      </c>
      <c r="H37" s="19" t="s">
        <v>103</v>
      </c>
      <c r="I37" s="77" t="s">
        <v>103</v>
      </c>
      <c r="J37" s="183">
        <f aca="true" t="shared" si="25" ref="J37:O37">J12+J21+J33</f>
        <v>30039.447989999997</v>
      </c>
      <c r="K37" s="183">
        <f t="shared" si="25"/>
        <v>31231.07617</v>
      </c>
      <c r="L37" s="183">
        <f t="shared" si="25"/>
        <v>34002.15154</v>
      </c>
      <c r="M37" s="183">
        <f t="shared" si="25"/>
        <v>34819.630419999994</v>
      </c>
      <c r="N37" s="183">
        <f t="shared" si="25"/>
        <v>36428.01558000001</v>
      </c>
      <c r="O37" s="183">
        <f t="shared" si="25"/>
        <v>37390.500490000006</v>
      </c>
      <c r="P37" s="185">
        <f t="shared" si="23"/>
        <v>103.9668777548665</v>
      </c>
      <c r="Q37" s="180">
        <f t="shared" si="23"/>
        <v>108.87281422809836</v>
      </c>
      <c r="R37" s="180">
        <f t="shared" si="23"/>
        <v>102.40419750802627</v>
      </c>
      <c r="S37" s="180">
        <f t="shared" si="23"/>
        <v>104.6191907857706</v>
      </c>
      <c r="T37" s="180">
        <f t="shared" si="23"/>
        <v>102.6421557547824</v>
      </c>
    </row>
    <row r="38" spans="1:20" ht="27">
      <c r="A38" s="385" t="s">
        <v>75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</row>
    <row r="39" spans="1:20" ht="45" customHeight="1">
      <c r="A39" s="21" t="s">
        <v>76</v>
      </c>
      <c r="B39" s="17" t="s">
        <v>69</v>
      </c>
      <c r="C39" s="14">
        <f aca="true" t="shared" si="26" ref="C39:H39">C40+C41+C42</f>
        <v>3.18</v>
      </c>
      <c r="D39" s="14">
        <f t="shared" si="26"/>
        <v>2.5</v>
      </c>
      <c r="E39" s="14">
        <f t="shared" si="26"/>
        <v>3.38</v>
      </c>
      <c r="F39" s="14">
        <f t="shared" si="26"/>
        <v>4.33</v>
      </c>
      <c r="G39" s="14">
        <f t="shared" si="26"/>
        <v>5.18</v>
      </c>
      <c r="H39" s="14">
        <f t="shared" si="26"/>
        <v>5.8</v>
      </c>
      <c r="I39" s="75">
        <v>509.11</v>
      </c>
      <c r="J39" s="197">
        <f>I39*C39</f>
        <v>1618.9698</v>
      </c>
      <c r="K39" s="197">
        <f>D39*I39</f>
        <v>1272.775</v>
      </c>
      <c r="L39" s="178">
        <f>E39*I39</f>
        <v>1720.7918</v>
      </c>
      <c r="M39" s="178">
        <f>F39*I39</f>
        <v>2204.4463</v>
      </c>
      <c r="N39" s="178">
        <f>I39*G39</f>
        <v>2637.1898</v>
      </c>
      <c r="O39" s="178">
        <f>I39*H39</f>
        <v>2952.838</v>
      </c>
      <c r="P39" s="180">
        <f aca="true" t="shared" si="27" ref="P39:T43">K39/J39*100</f>
        <v>78.61635220125787</v>
      </c>
      <c r="Q39" s="180">
        <f t="shared" si="27"/>
        <v>135.2</v>
      </c>
      <c r="R39" s="180">
        <f t="shared" si="27"/>
        <v>128.10650887573965</v>
      </c>
      <c r="S39" s="180">
        <f t="shared" si="27"/>
        <v>119.63048498845265</v>
      </c>
      <c r="T39" s="180">
        <f t="shared" si="27"/>
        <v>111.96911196911196</v>
      </c>
    </row>
    <row r="40" spans="1:20" ht="45" customHeight="1">
      <c r="A40" s="196" t="s">
        <v>217</v>
      </c>
      <c r="B40" s="192"/>
      <c r="C40" s="193">
        <v>1.6</v>
      </c>
      <c r="D40" s="193">
        <v>0.8</v>
      </c>
      <c r="E40" s="193">
        <v>0.88</v>
      </c>
      <c r="F40" s="193">
        <v>0.95</v>
      </c>
      <c r="G40" s="193">
        <v>1.5</v>
      </c>
      <c r="H40" s="193">
        <v>1.8</v>
      </c>
      <c r="I40" s="194">
        <v>509.11</v>
      </c>
      <c r="J40" s="197">
        <f>I40*C40</f>
        <v>814.576</v>
      </c>
      <c r="K40" s="197">
        <f>D40*I40</f>
        <v>407.288</v>
      </c>
      <c r="L40" s="178">
        <f>E40*I40</f>
        <v>448.0168</v>
      </c>
      <c r="M40" s="178">
        <f>F40*I40</f>
        <v>483.6545</v>
      </c>
      <c r="N40" s="178">
        <f>I40*G40</f>
        <v>763.665</v>
      </c>
      <c r="O40" s="178">
        <f>I40*H40</f>
        <v>916.398</v>
      </c>
      <c r="P40" s="180">
        <f t="shared" si="27"/>
        <v>50</v>
      </c>
      <c r="Q40" s="180">
        <f t="shared" si="27"/>
        <v>109.99999999999999</v>
      </c>
      <c r="R40" s="180">
        <f t="shared" si="27"/>
        <v>107.95454545454545</v>
      </c>
      <c r="S40" s="180">
        <f t="shared" si="27"/>
        <v>157.89473684210526</v>
      </c>
      <c r="T40" s="180">
        <f t="shared" si="27"/>
        <v>120.00000000000001</v>
      </c>
    </row>
    <row r="41" spans="1:20" ht="45" customHeight="1">
      <c r="A41" s="196" t="s">
        <v>195</v>
      </c>
      <c r="B41" s="192"/>
      <c r="C41" s="193">
        <v>0.48</v>
      </c>
      <c r="D41" s="193">
        <v>0.5</v>
      </c>
      <c r="E41" s="193">
        <v>1</v>
      </c>
      <c r="F41" s="193">
        <v>1.68</v>
      </c>
      <c r="G41" s="193">
        <v>1.89</v>
      </c>
      <c r="H41" s="193">
        <v>2</v>
      </c>
      <c r="I41" s="194">
        <v>509.11</v>
      </c>
      <c r="J41" s="197">
        <f>I41*C41</f>
        <v>244.37279999999998</v>
      </c>
      <c r="K41" s="197">
        <f>D41*I41</f>
        <v>254.555</v>
      </c>
      <c r="L41" s="178">
        <f>E41*I41</f>
        <v>509.11</v>
      </c>
      <c r="M41" s="178">
        <f>F41*I41</f>
        <v>855.3048</v>
      </c>
      <c r="N41" s="178">
        <f>I41*G41</f>
        <v>962.2179</v>
      </c>
      <c r="O41" s="178">
        <f>I41*H41</f>
        <v>1018.22</v>
      </c>
      <c r="P41" s="180">
        <f t="shared" si="27"/>
        <v>104.16666666666667</v>
      </c>
      <c r="Q41" s="180">
        <f t="shared" si="27"/>
        <v>200</v>
      </c>
      <c r="R41" s="180">
        <f t="shared" si="27"/>
        <v>168</v>
      </c>
      <c r="S41" s="180">
        <f t="shared" si="27"/>
        <v>112.5</v>
      </c>
      <c r="T41" s="180">
        <f t="shared" si="27"/>
        <v>105.82010582010581</v>
      </c>
    </row>
    <row r="42" spans="1:20" ht="45" customHeight="1">
      <c r="A42" s="196" t="s">
        <v>196</v>
      </c>
      <c r="B42" s="192"/>
      <c r="C42" s="193">
        <v>1.1</v>
      </c>
      <c r="D42" s="193">
        <v>1.2</v>
      </c>
      <c r="E42" s="193">
        <v>1.5</v>
      </c>
      <c r="F42" s="193">
        <v>1.7</v>
      </c>
      <c r="G42" s="193">
        <v>1.79</v>
      </c>
      <c r="H42" s="193">
        <v>2</v>
      </c>
      <c r="I42" s="194">
        <v>509.11</v>
      </c>
      <c r="J42" s="197">
        <f>I42*C42</f>
        <v>560.0210000000001</v>
      </c>
      <c r="K42" s="197">
        <f>D42*I42</f>
        <v>610.932</v>
      </c>
      <c r="L42" s="178">
        <f>E42*I42</f>
        <v>763.665</v>
      </c>
      <c r="M42" s="178">
        <f>F42*I42</f>
        <v>865.487</v>
      </c>
      <c r="N42" s="178">
        <f>I42*G42</f>
        <v>911.3069</v>
      </c>
      <c r="O42" s="178">
        <f>I42*H42</f>
        <v>1018.22</v>
      </c>
      <c r="P42" s="180">
        <f t="shared" si="27"/>
        <v>109.09090909090908</v>
      </c>
      <c r="Q42" s="180">
        <f t="shared" si="27"/>
        <v>125</v>
      </c>
      <c r="R42" s="180">
        <f t="shared" si="27"/>
        <v>113.33333333333333</v>
      </c>
      <c r="S42" s="180">
        <f t="shared" si="27"/>
        <v>105.29411764705883</v>
      </c>
      <c r="T42" s="180">
        <f t="shared" si="27"/>
        <v>111.73184357541899</v>
      </c>
    </row>
    <row r="43" spans="1:20" ht="27.75">
      <c r="A43" s="35" t="s">
        <v>64</v>
      </c>
      <c r="B43" s="68" t="s">
        <v>103</v>
      </c>
      <c r="C43" s="19" t="s">
        <v>103</v>
      </c>
      <c r="D43" s="19" t="s">
        <v>103</v>
      </c>
      <c r="E43" s="19" t="s">
        <v>103</v>
      </c>
      <c r="F43" s="19" t="s">
        <v>103</v>
      </c>
      <c r="G43" s="19"/>
      <c r="H43" s="19" t="s">
        <v>103</v>
      </c>
      <c r="I43" s="76" t="s">
        <v>103</v>
      </c>
      <c r="J43" s="185">
        <f aca="true" t="shared" si="28" ref="J43:O43">J40+J41+J42</f>
        <v>1618.9698000000003</v>
      </c>
      <c r="K43" s="185">
        <f t="shared" si="28"/>
        <v>1272.775</v>
      </c>
      <c r="L43" s="185">
        <f t="shared" si="28"/>
        <v>1720.7918</v>
      </c>
      <c r="M43" s="185">
        <f t="shared" si="28"/>
        <v>2204.4463</v>
      </c>
      <c r="N43" s="185">
        <f t="shared" si="28"/>
        <v>2637.1898</v>
      </c>
      <c r="O43" s="185">
        <f t="shared" si="28"/>
        <v>2952.8379999999997</v>
      </c>
      <c r="P43" s="180">
        <f t="shared" si="27"/>
        <v>78.61635220125785</v>
      </c>
      <c r="Q43" s="180">
        <f t="shared" si="27"/>
        <v>135.2</v>
      </c>
      <c r="R43" s="180">
        <f t="shared" si="27"/>
        <v>128.10650887573965</v>
      </c>
      <c r="S43" s="180">
        <f t="shared" si="27"/>
        <v>119.63048498845265</v>
      </c>
      <c r="T43" s="180">
        <f t="shared" si="27"/>
        <v>111.96911196911195</v>
      </c>
    </row>
    <row r="44" spans="1:20" ht="27">
      <c r="A44" s="389" t="s">
        <v>77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</row>
    <row r="45" spans="1:20" ht="26.25">
      <c r="A45" s="20" t="s">
        <v>78</v>
      </c>
      <c r="B45" s="66" t="s">
        <v>63</v>
      </c>
      <c r="C45" s="12">
        <v>4036.4</v>
      </c>
      <c r="D45" s="12">
        <v>5296.1</v>
      </c>
      <c r="E45" s="12">
        <v>5540</v>
      </c>
      <c r="F45" s="12">
        <v>5783</v>
      </c>
      <c r="G45" s="12">
        <v>5965</v>
      </c>
      <c r="H45" s="12">
        <v>6112</v>
      </c>
      <c r="I45" s="74">
        <v>109.5</v>
      </c>
      <c r="J45" s="178">
        <f aca="true" t="shared" si="29" ref="J45:J50">C45*I45</f>
        <v>441985.8</v>
      </c>
      <c r="K45" s="178">
        <f aca="true" t="shared" si="30" ref="K45:K50">D45*I45</f>
        <v>579922.9500000001</v>
      </c>
      <c r="L45" s="178">
        <f aca="true" t="shared" si="31" ref="L45:L50">E45*I45</f>
        <v>606630</v>
      </c>
      <c r="M45" s="178">
        <f aca="true" t="shared" si="32" ref="M45:M50">F45*I45</f>
        <v>633238.5</v>
      </c>
      <c r="N45" s="178">
        <f aca="true" t="shared" si="33" ref="N45:N50">G45*I45</f>
        <v>653167.5</v>
      </c>
      <c r="O45" s="178">
        <f aca="true" t="shared" si="34" ref="O45:O50">H45*I45</f>
        <v>669264</v>
      </c>
      <c r="P45" s="180">
        <f aca="true" t="shared" si="35" ref="P45:P51">K45/J45*100</f>
        <v>131.20850262610247</v>
      </c>
      <c r="Q45" s="180">
        <f aca="true" t="shared" si="36" ref="Q45:R51">L45/K45*100</f>
        <v>104.60527558014388</v>
      </c>
      <c r="R45" s="180">
        <f t="shared" si="36"/>
        <v>104.38628158844764</v>
      </c>
      <c r="S45" s="180">
        <f aca="true" t="shared" si="37" ref="S45:T51">N45/M45*100</f>
        <v>103.14715545564586</v>
      </c>
      <c r="T45" s="180">
        <f t="shared" si="37"/>
        <v>102.46437552388936</v>
      </c>
    </row>
    <row r="46" spans="1:20" ht="26.25">
      <c r="A46" s="42" t="s">
        <v>79</v>
      </c>
      <c r="B46" s="67" t="s">
        <v>63</v>
      </c>
      <c r="C46" s="14">
        <v>5146.6</v>
      </c>
      <c r="D46" s="14">
        <v>3493.8</v>
      </c>
      <c r="E46" s="12">
        <v>3562</v>
      </c>
      <c r="F46" s="12">
        <f>E46*1.05</f>
        <v>3740.1000000000004</v>
      </c>
      <c r="G46" s="12">
        <v>4910</v>
      </c>
      <c r="H46" s="12">
        <v>5012</v>
      </c>
      <c r="I46" s="75">
        <v>315.2</v>
      </c>
      <c r="J46" s="178">
        <f t="shared" si="29"/>
        <v>1622208.32</v>
      </c>
      <c r="K46" s="178">
        <f t="shared" si="30"/>
        <v>1101245.76</v>
      </c>
      <c r="L46" s="178">
        <f t="shared" si="31"/>
        <v>1122742.4</v>
      </c>
      <c r="M46" s="178">
        <f t="shared" si="32"/>
        <v>1178879.52</v>
      </c>
      <c r="N46" s="178">
        <f t="shared" si="33"/>
        <v>1547632</v>
      </c>
      <c r="O46" s="178">
        <f t="shared" si="34"/>
        <v>1579782.4</v>
      </c>
      <c r="P46" s="180">
        <f aca="true" t="shared" si="38" ref="P46:T47">K46/J46*100</f>
        <v>67.8855943729841</v>
      </c>
      <c r="Q46" s="180">
        <f t="shared" si="38"/>
        <v>101.95202930906176</v>
      </c>
      <c r="R46" s="180">
        <f t="shared" si="38"/>
        <v>105</v>
      </c>
      <c r="S46" s="180">
        <f t="shared" si="38"/>
        <v>131.2799123018101</v>
      </c>
      <c r="T46" s="180">
        <f t="shared" si="38"/>
        <v>102.07739307535641</v>
      </c>
    </row>
    <row r="47" spans="1:20" ht="26.25">
      <c r="A47" s="21" t="s">
        <v>177</v>
      </c>
      <c r="B47" s="67" t="s">
        <v>63</v>
      </c>
      <c r="C47" s="14">
        <v>1083.8</v>
      </c>
      <c r="D47" s="14">
        <v>212.7</v>
      </c>
      <c r="E47" s="199">
        <f>D47*1.084</f>
        <v>230.5668</v>
      </c>
      <c r="F47" s="12">
        <f>E47*1.05</f>
        <v>242.09514000000001</v>
      </c>
      <c r="G47" s="12">
        <f>F47*1.1</f>
        <v>266.304654</v>
      </c>
      <c r="H47" s="12">
        <f>G47*1.1</f>
        <v>292.9351194000001</v>
      </c>
      <c r="I47" s="75">
        <v>444</v>
      </c>
      <c r="J47" s="178">
        <f t="shared" si="29"/>
        <v>481207.19999999995</v>
      </c>
      <c r="K47" s="178">
        <f t="shared" si="30"/>
        <v>94438.79999999999</v>
      </c>
      <c r="L47" s="178">
        <f t="shared" si="31"/>
        <v>102371.6592</v>
      </c>
      <c r="M47" s="178">
        <f t="shared" si="32"/>
        <v>107490.24216000001</v>
      </c>
      <c r="N47" s="178">
        <f t="shared" si="33"/>
        <v>118239.26637600001</v>
      </c>
      <c r="O47" s="178">
        <f t="shared" si="34"/>
        <v>130063.19301360003</v>
      </c>
      <c r="P47" s="180">
        <f t="shared" si="38"/>
        <v>19.62539213877099</v>
      </c>
      <c r="Q47" s="180">
        <f t="shared" si="38"/>
        <v>108.4</v>
      </c>
      <c r="R47" s="180">
        <f t="shared" si="38"/>
        <v>105</v>
      </c>
      <c r="S47" s="180">
        <f t="shared" si="38"/>
        <v>110.00000000000001</v>
      </c>
      <c r="T47" s="180">
        <f t="shared" si="38"/>
        <v>110.00000000000001</v>
      </c>
    </row>
    <row r="48" spans="1:20" ht="26.25">
      <c r="A48" s="21" t="s">
        <v>80</v>
      </c>
      <c r="B48" s="67" t="s">
        <v>63</v>
      </c>
      <c r="C48" s="14">
        <v>4515.7</v>
      </c>
      <c r="D48" s="14">
        <v>5193</v>
      </c>
      <c r="E48" s="14">
        <v>5302</v>
      </c>
      <c r="F48" s="12">
        <f>E48*1.05</f>
        <v>5567.1</v>
      </c>
      <c r="G48" s="12">
        <v>5780</v>
      </c>
      <c r="H48" s="12">
        <v>5963</v>
      </c>
      <c r="I48" s="75">
        <v>1500</v>
      </c>
      <c r="J48" s="178">
        <f t="shared" si="29"/>
        <v>6773550</v>
      </c>
      <c r="K48" s="178">
        <f t="shared" si="30"/>
        <v>7789500</v>
      </c>
      <c r="L48" s="178">
        <f t="shared" si="31"/>
        <v>7953000</v>
      </c>
      <c r="M48" s="178">
        <f t="shared" si="32"/>
        <v>8350650.000000001</v>
      </c>
      <c r="N48" s="178">
        <f t="shared" si="33"/>
        <v>8670000</v>
      </c>
      <c r="O48" s="178">
        <f t="shared" si="34"/>
        <v>8944500</v>
      </c>
      <c r="P48" s="180">
        <f t="shared" si="35"/>
        <v>114.99878202714973</v>
      </c>
      <c r="Q48" s="180">
        <f t="shared" si="36"/>
        <v>102.09897939533987</v>
      </c>
      <c r="R48" s="180">
        <f t="shared" si="36"/>
        <v>105</v>
      </c>
      <c r="S48" s="180">
        <f t="shared" si="37"/>
        <v>103.82425320184656</v>
      </c>
      <c r="T48" s="180">
        <f t="shared" si="37"/>
        <v>103.16608996539793</v>
      </c>
    </row>
    <row r="49" spans="1:20" ht="26.25">
      <c r="A49" s="21" t="s">
        <v>81</v>
      </c>
      <c r="B49" s="67" t="s">
        <v>63</v>
      </c>
      <c r="C49" s="14">
        <v>36791.7</v>
      </c>
      <c r="D49" s="14">
        <v>39036</v>
      </c>
      <c r="E49" s="14">
        <v>41030</v>
      </c>
      <c r="F49" s="12">
        <v>43460</v>
      </c>
      <c r="G49" s="12">
        <v>46320</v>
      </c>
      <c r="H49" s="12">
        <v>48510</v>
      </c>
      <c r="I49" s="75">
        <v>296.3</v>
      </c>
      <c r="J49" s="178">
        <f t="shared" si="29"/>
        <v>10901380.709999999</v>
      </c>
      <c r="K49" s="178">
        <f t="shared" si="30"/>
        <v>11566366.8</v>
      </c>
      <c r="L49" s="178">
        <f t="shared" si="31"/>
        <v>12157189</v>
      </c>
      <c r="M49" s="178">
        <f t="shared" si="32"/>
        <v>12877198</v>
      </c>
      <c r="N49" s="178">
        <f t="shared" si="33"/>
        <v>13724616</v>
      </c>
      <c r="O49" s="178">
        <f t="shared" si="34"/>
        <v>14373513</v>
      </c>
      <c r="P49" s="180">
        <f t="shared" si="35"/>
        <v>106.10001712342732</v>
      </c>
      <c r="Q49" s="180">
        <f t="shared" si="36"/>
        <v>105.10810533866174</v>
      </c>
      <c r="R49" s="180">
        <f t="shared" si="36"/>
        <v>105.92249573482817</v>
      </c>
      <c r="S49" s="180">
        <f t="shared" si="37"/>
        <v>106.58076392084676</v>
      </c>
      <c r="T49" s="180">
        <f t="shared" si="37"/>
        <v>104.7279792746114</v>
      </c>
    </row>
    <row r="50" spans="1:20" ht="26.25">
      <c r="A50" s="21" t="s">
        <v>82</v>
      </c>
      <c r="B50" s="67" t="s">
        <v>68</v>
      </c>
      <c r="C50" s="14">
        <v>1946</v>
      </c>
      <c r="D50" s="14">
        <v>1999</v>
      </c>
      <c r="E50" s="14">
        <v>2000</v>
      </c>
      <c r="F50" s="12">
        <v>2050</v>
      </c>
      <c r="G50" s="12">
        <v>2067</v>
      </c>
      <c r="H50" s="14">
        <v>2075</v>
      </c>
      <c r="I50" s="75">
        <v>90.8</v>
      </c>
      <c r="J50" s="178">
        <f t="shared" si="29"/>
        <v>176696.8</v>
      </c>
      <c r="K50" s="178">
        <f t="shared" si="30"/>
        <v>181509.19999999998</v>
      </c>
      <c r="L50" s="178">
        <f t="shared" si="31"/>
        <v>181600</v>
      </c>
      <c r="M50" s="178">
        <f t="shared" si="32"/>
        <v>186140</v>
      </c>
      <c r="N50" s="178">
        <f t="shared" si="33"/>
        <v>187683.6</v>
      </c>
      <c r="O50" s="178">
        <f t="shared" si="34"/>
        <v>188410</v>
      </c>
      <c r="P50" s="180">
        <f>K50/J50*100</f>
        <v>102.7235354573484</v>
      </c>
      <c r="Q50" s="180">
        <f>L50/K50*100</f>
        <v>100.05002501250627</v>
      </c>
      <c r="R50" s="180">
        <f>M50/L50*100</f>
        <v>102.49999999999999</v>
      </c>
      <c r="S50" s="180">
        <f>N50/M50*100</f>
        <v>100.82926829268293</v>
      </c>
      <c r="T50" s="180">
        <f>O50/N50*100</f>
        <v>100.3870343492985</v>
      </c>
    </row>
    <row r="51" spans="1:20" ht="27.75">
      <c r="A51" s="35" t="s">
        <v>64</v>
      </c>
      <c r="B51" s="68" t="s">
        <v>103</v>
      </c>
      <c r="C51" s="19" t="s">
        <v>103</v>
      </c>
      <c r="D51" s="19" t="s">
        <v>103</v>
      </c>
      <c r="E51" s="19" t="s">
        <v>103</v>
      </c>
      <c r="F51" s="19" t="s">
        <v>103</v>
      </c>
      <c r="G51" s="19" t="s">
        <v>103</v>
      </c>
      <c r="H51" s="19" t="s">
        <v>103</v>
      </c>
      <c r="I51" s="76" t="s">
        <v>103</v>
      </c>
      <c r="J51" s="184">
        <f aca="true" t="shared" si="39" ref="J51:O51">SUM(J45:J50)</f>
        <v>20397028.830000002</v>
      </c>
      <c r="K51" s="184">
        <f t="shared" si="39"/>
        <v>21312983.51</v>
      </c>
      <c r="L51" s="184">
        <f t="shared" si="39"/>
        <v>22123533.0592</v>
      </c>
      <c r="M51" s="184">
        <f t="shared" si="39"/>
        <v>23333596.262160003</v>
      </c>
      <c r="N51" s="184">
        <f t="shared" si="39"/>
        <v>24901338.366376</v>
      </c>
      <c r="O51" s="184">
        <f t="shared" si="39"/>
        <v>25885532.5930136</v>
      </c>
      <c r="P51" s="185">
        <f t="shared" si="35"/>
        <v>104.49062796171967</v>
      </c>
      <c r="Q51" s="185">
        <f t="shared" si="36"/>
        <v>103.8030787609801</v>
      </c>
      <c r="R51" s="185">
        <f t="shared" si="36"/>
        <v>105.46957486275821</v>
      </c>
      <c r="S51" s="185">
        <f t="shared" si="37"/>
        <v>106.71881902215989</v>
      </c>
      <c r="T51" s="185">
        <f t="shared" si="37"/>
        <v>103.95237481679516</v>
      </c>
    </row>
    <row r="52" spans="1:20" ht="27">
      <c r="A52" s="382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</row>
    <row r="53" spans="1:20" ht="26.25">
      <c r="A53" s="41"/>
      <c r="B53" s="67"/>
      <c r="C53" s="14"/>
      <c r="D53" s="14"/>
      <c r="E53" s="14"/>
      <c r="F53" s="14"/>
      <c r="G53" s="14"/>
      <c r="H53" s="14"/>
      <c r="I53" s="75"/>
      <c r="J53" s="15"/>
      <c r="K53" s="15"/>
      <c r="L53" s="15"/>
      <c r="M53" s="15"/>
      <c r="N53" s="15"/>
      <c r="O53" s="15"/>
      <c r="P53" s="34"/>
      <c r="Q53" s="34"/>
      <c r="R53" s="34"/>
      <c r="S53" s="34"/>
      <c r="T53" s="34"/>
    </row>
    <row r="54" spans="1:20" ht="27.75">
      <c r="A54" s="35" t="s">
        <v>64</v>
      </c>
      <c r="B54" s="68" t="s">
        <v>103</v>
      </c>
      <c r="C54" s="19" t="s">
        <v>103</v>
      </c>
      <c r="D54" s="19" t="s">
        <v>103</v>
      </c>
      <c r="E54" s="19" t="s">
        <v>103</v>
      </c>
      <c r="F54" s="19" t="s">
        <v>103</v>
      </c>
      <c r="G54" s="19" t="s">
        <v>103</v>
      </c>
      <c r="H54" s="19" t="s">
        <v>103</v>
      </c>
      <c r="I54" s="76" t="s">
        <v>103</v>
      </c>
      <c r="J54" s="197">
        <f aca="true" t="shared" si="40" ref="J54:O54">J37+J43+J51</f>
        <v>20428687.24779</v>
      </c>
      <c r="K54" s="197">
        <f t="shared" si="40"/>
        <v>21345487.36117</v>
      </c>
      <c r="L54" s="197">
        <f t="shared" si="40"/>
        <v>22159256.00254</v>
      </c>
      <c r="M54" s="197">
        <f t="shared" si="40"/>
        <v>23370620.338880002</v>
      </c>
      <c r="N54" s="197">
        <f t="shared" si="40"/>
        <v>24940403.571756</v>
      </c>
      <c r="O54" s="197">
        <f t="shared" si="40"/>
        <v>25925875.9315036</v>
      </c>
      <c r="P54" s="185">
        <f>K54/J54*100</f>
        <v>104.48780727934037</v>
      </c>
      <c r="Q54" s="185">
        <f>L54/K54*100</f>
        <v>103.81236852361751</v>
      </c>
      <c r="R54" s="185">
        <f>M54/L54*100</f>
        <v>105.46662909711928</v>
      </c>
      <c r="S54" s="185">
        <f>N54/M54*100</f>
        <v>106.71690870894199</v>
      </c>
      <c r="T54" s="185">
        <f>O54/N54*100</f>
        <v>103.95130879463237</v>
      </c>
    </row>
    <row r="55" spans="1:20" ht="27.75">
      <c r="A55" s="37"/>
      <c r="B55" s="69"/>
      <c r="C55" s="30"/>
      <c r="D55" s="30"/>
      <c r="E55" s="30"/>
      <c r="F55" s="30"/>
      <c r="G55" s="30"/>
      <c r="H55" s="30"/>
      <c r="I55" s="78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26.25">
      <c r="A56" s="392" t="s">
        <v>105</v>
      </c>
      <c r="B56" s="393"/>
      <c r="C56" s="393"/>
      <c r="D56" s="393"/>
      <c r="E56" s="393"/>
      <c r="F56" s="393"/>
      <c r="G56" s="393"/>
      <c r="H56" s="393"/>
      <c r="I56" s="393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26.25">
      <c r="A57" s="38" t="s">
        <v>163</v>
      </c>
      <c r="B57" s="70"/>
      <c r="C57" s="39"/>
      <c r="D57" s="39"/>
      <c r="E57" s="39"/>
      <c r="F57" s="39"/>
      <c r="G57" s="39"/>
      <c r="H57" s="39"/>
      <c r="I57" s="79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57.75" customHeight="1">
      <c r="A58" s="391" t="s">
        <v>111</v>
      </c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</row>
    <row r="59" spans="1:20" ht="20.25">
      <c r="A59" s="32"/>
      <c r="B59" s="71"/>
      <c r="C59" s="22"/>
      <c r="D59" s="22"/>
      <c r="E59" s="22"/>
      <c r="F59" s="22"/>
      <c r="G59" s="22"/>
      <c r="H59" s="22"/>
      <c r="I59" s="8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20.25">
      <c r="A60" s="22"/>
      <c r="B60" s="71"/>
      <c r="C60" s="22"/>
      <c r="D60" s="22"/>
      <c r="E60" s="22"/>
      <c r="F60" s="22"/>
      <c r="G60" s="22"/>
      <c r="H60" s="22"/>
      <c r="I60" s="8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20.25">
      <c r="A61" s="22"/>
      <c r="B61" s="71"/>
      <c r="C61" s="22"/>
      <c r="D61" s="22"/>
      <c r="E61" s="22"/>
      <c r="F61" s="22"/>
      <c r="G61" s="22"/>
      <c r="H61" s="22"/>
      <c r="I61" s="8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20.25">
      <c r="A62" s="22"/>
      <c r="B62" s="71"/>
      <c r="C62" s="22"/>
      <c r="D62" s="22"/>
      <c r="E62" s="22"/>
      <c r="F62" s="22"/>
      <c r="G62" s="22"/>
      <c r="H62" s="22"/>
      <c r="I62" s="80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20.25">
      <c r="A63" s="22"/>
      <c r="B63" s="71"/>
      <c r="C63" s="22"/>
      <c r="D63" s="22"/>
      <c r="E63" s="22"/>
      <c r="F63" s="22"/>
      <c r="G63" s="22"/>
      <c r="H63" s="22"/>
      <c r="I63" s="80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20.25">
      <c r="A64" s="22"/>
      <c r="B64" s="71"/>
      <c r="C64" s="22"/>
      <c r="D64" s="22"/>
      <c r="E64" s="22"/>
      <c r="F64" s="22"/>
      <c r="G64" s="22"/>
      <c r="H64" s="22"/>
      <c r="I64" s="80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20.25">
      <c r="A65" s="22"/>
      <c r="B65" s="71"/>
      <c r="C65" s="22"/>
      <c r="D65" s="22"/>
      <c r="E65" s="22"/>
      <c r="F65" s="22"/>
      <c r="G65" s="22"/>
      <c r="H65" s="22"/>
      <c r="I65" s="80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20.25">
      <c r="A66" s="22"/>
      <c r="B66" s="71"/>
      <c r="C66" s="22"/>
      <c r="D66" s="22"/>
      <c r="E66" s="22"/>
      <c r="F66" s="22"/>
      <c r="G66" s="22"/>
      <c r="H66" s="22"/>
      <c r="I66" s="80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9" ht="12.75">
      <c r="A67" s="24"/>
      <c r="B67" s="72"/>
      <c r="C67" s="24"/>
      <c r="D67" s="24"/>
      <c r="E67" s="24"/>
      <c r="F67" s="24"/>
      <c r="G67" s="24"/>
      <c r="H67" s="24"/>
      <c r="I67" s="81"/>
    </row>
    <row r="68" spans="1:9" ht="12.75">
      <c r="A68" s="24"/>
      <c r="B68" s="72"/>
      <c r="C68" s="24"/>
      <c r="D68" s="24"/>
      <c r="E68" s="24"/>
      <c r="F68" s="24"/>
      <c r="G68" s="24"/>
      <c r="H68" s="24"/>
      <c r="I68" s="81"/>
    </row>
    <row r="69" spans="1:9" ht="12.75">
      <c r="A69" s="24"/>
      <c r="B69" s="72"/>
      <c r="C69" s="24"/>
      <c r="D69" s="24"/>
      <c r="E69" s="24"/>
      <c r="F69" s="24"/>
      <c r="G69" s="24"/>
      <c r="H69" s="24"/>
      <c r="I69" s="81"/>
    </row>
    <row r="70" spans="1:9" ht="12.75">
      <c r="A70" s="24"/>
      <c r="B70" s="72"/>
      <c r="C70" s="24"/>
      <c r="D70" s="24"/>
      <c r="E70" s="24"/>
      <c r="F70" s="24"/>
      <c r="G70" s="24"/>
      <c r="H70" s="24"/>
      <c r="I70" s="81"/>
    </row>
    <row r="71" spans="1:9" ht="12.75">
      <c r="A71" s="24"/>
      <c r="B71" s="72"/>
      <c r="C71" s="24"/>
      <c r="D71" s="24"/>
      <c r="E71" s="24"/>
      <c r="F71" s="24"/>
      <c r="G71" s="24"/>
      <c r="H71" s="24"/>
      <c r="I71" s="81"/>
    </row>
    <row r="72" spans="1:9" ht="12.75">
      <c r="A72" s="24"/>
      <c r="B72" s="72"/>
      <c r="C72" s="24"/>
      <c r="D72" s="24"/>
      <c r="E72" s="24"/>
      <c r="F72" s="24"/>
      <c r="G72" s="24"/>
      <c r="H72" s="24"/>
      <c r="I72" s="81"/>
    </row>
    <row r="73" spans="1:9" ht="12.75">
      <c r="A73" s="24"/>
      <c r="B73" s="72"/>
      <c r="C73" s="24"/>
      <c r="D73" s="24"/>
      <c r="E73" s="24"/>
      <c r="F73" s="24"/>
      <c r="G73" s="24"/>
      <c r="H73" s="24"/>
      <c r="I73" s="81"/>
    </row>
  </sheetData>
  <sheetProtection/>
  <mergeCells count="16">
    <mergeCell ref="A58:T58"/>
    <mergeCell ref="A56:I56"/>
    <mergeCell ref="A2:T2"/>
    <mergeCell ref="A3:T3"/>
    <mergeCell ref="A5:A6"/>
    <mergeCell ref="B5:H5"/>
    <mergeCell ref="I5:I6"/>
    <mergeCell ref="J5:O5"/>
    <mergeCell ref="P5:T5"/>
    <mergeCell ref="O1:T1"/>
    <mergeCell ref="A52:T52"/>
    <mergeCell ref="A8:T8"/>
    <mergeCell ref="A9:T9"/>
    <mergeCell ref="A29:T29"/>
    <mergeCell ref="A38:T38"/>
    <mergeCell ref="A44:T4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0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2020-11-10T07:00:01Z</cp:lastPrinted>
  <dcterms:created xsi:type="dcterms:W3CDTF">2006-03-06T08:26:24Z</dcterms:created>
  <dcterms:modified xsi:type="dcterms:W3CDTF">2020-11-10T07:00:05Z</dcterms:modified>
  <cp:category/>
  <cp:version/>
  <cp:contentType/>
  <cp:contentStatus/>
</cp:coreProperties>
</file>